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mexico-my.sharepoint.com/personal/angeles_vazquez_ine_mx/Documents/_AVA_SUB_23-24/00_PEF-PEL_2023-2024/_10_Partidos Políticos/Bloque 3/1_Guerrero/GRO OPL Premisas y modelos PEL/"/>
    </mc:Choice>
  </mc:AlternateContent>
  <xr:revisionPtr revIDLastSave="35" documentId="13_ncr:1_{93097803-E4E0-47BE-81DF-B139E71E6D5C}" xr6:coauthVersionLast="47" xr6:coauthVersionMax="47" xr10:uidLastSave="{E73404DE-FB97-4E97-AF29-FE48D5288E03}"/>
  <bookViews>
    <workbookView xWindow="-28920" yWindow="-30" windowWidth="29040" windowHeight="15840" tabRatio="617" firstSheet="1" activeTab="2" xr2:uid="{00000000-000D-0000-FFFF-FFFF00000000}"/>
  </bookViews>
  <sheets>
    <sheet name="Premisas PEL (11 min)" sheetId="1" state="hidden" r:id="rId1"/>
    <sheet name="Cálculo PEL 70-30 (11 min)" sheetId="2" r:id="rId2"/>
    <sheet name="Modelo PEL Precampaña 17 días" sheetId="3" r:id="rId3"/>
  </sheets>
  <definedNames>
    <definedName name="_xlnm._FilterDatabase" localSheetId="2" hidden="1">'Modelo PEL Precampaña 17 días'!$A$6:$L$29</definedName>
    <definedName name="_xlnm.Print_Area" localSheetId="1">'Cálculo PEL 70-30 (11 min)'!$A$1:$H$23</definedName>
    <definedName name="_xlnm.Print_Area" localSheetId="2">'Modelo PEL Precampaña 17 días'!$A$4:$A$28</definedName>
    <definedName name="_xlnm.Print_Area" localSheetId="0">'Premisas PEL (11 min)'!$A$1:$G$23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2" l="1"/>
  <c r="D12" i="1"/>
  <c r="D13" i="1"/>
  <c r="D14" i="1"/>
  <c r="D15" i="1"/>
  <c r="D16" i="1"/>
  <c r="D17" i="1"/>
  <c r="D18" i="1"/>
  <c r="D11" i="2" s="1"/>
  <c r="D19" i="1"/>
  <c r="D12" i="2" s="1"/>
  <c r="D20" i="1"/>
  <c r="D21" i="1"/>
  <c r="D22" i="1"/>
  <c r="D23" i="1"/>
  <c r="D24" i="1"/>
  <c r="D25" i="1"/>
  <c r="D11" i="1"/>
  <c r="C26" i="1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32" i="3"/>
  <c r="C19" i="2"/>
  <c r="F5" i="2"/>
  <c r="F6" i="2"/>
  <c r="F13" i="2"/>
  <c r="F14" i="2"/>
  <c r="E7" i="2"/>
  <c r="G7" i="2" s="1"/>
  <c r="E8" i="2"/>
  <c r="G8" i="2" s="1"/>
  <c r="E15" i="2"/>
  <c r="G15" i="2" s="1"/>
  <c r="E16" i="2"/>
  <c r="G16" i="2" s="1"/>
  <c r="D5" i="2"/>
  <c r="E5" i="2" s="1"/>
  <c r="G5" i="2" s="1"/>
  <c r="D6" i="2"/>
  <c r="E6" i="2" s="1"/>
  <c r="G6" i="2" s="1"/>
  <c r="D7" i="2"/>
  <c r="F7" i="2" s="1"/>
  <c r="D8" i="2"/>
  <c r="F8" i="2" s="1"/>
  <c r="D9" i="2"/>
  <c r="E9" i="2" s="1"/>
  <c r="G9" i="2" s="1"/>
  <c r="D10" i="2"/>
  <c r="E10" i="2" s="1"/>
  <c r="G10" i="2" s="1"/>
  <c r="D13" i="2"/>
  <c r="E13" i="2" s="1"/>
  <c r="G13" i="2" s="1"/>
  <c r="D14" i="2"/>
  <c r="E14" i="2" s="1"/>
  <c r="G14" i="2" s="1"/>
  <c r="D15" i="2"/>
  <c r="F15" i="2" s="1"/>
  <c r="D16" i="2"/>
  <c r="F16" i="2" s="1"/>
  <c r="D17" i="2"/>
  <c r="E17" i="2" s="1"/>
  <c r="G17" i="2" s="1"/>
  <c r="D18" i="2"/>
  <c r="E18" i="2" s="1"/>
  <c r="G18" i="2" s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C4" i="2"/>
  <c r="B4" i="2"/>
  <c r="C11" i="1"/>
  <c r="C18" i="1"/>
  <c r="C19" i="1"/>
  <c r="C20" i="1"/>
  <c r="C21" i="1"/>
  <c r="C22" i="1"/>
  <c r="C23" i="1"/>
  <c r="C24" i="1"/>
  <c r="C25" i="1"/>
  <c r="K14" i="1"/>
  <c r="J27" i="1"/>
  <c r="K16" i="1" s="1"/>
  <c r="E12" i="2" l="1"/>
  <c r="G12" i="2" s="1"/>
  <c r="F12" i="2"/>
  <c r="E11" i="2"/>
  <c r="G11" i="2" s="1"/>
  <c r="F11" i="2"/>
  <c r="D26" i="1"/>
  <c r="F18" i="2"/>
  <c r="F10" i="2"/>
  <c r="F17" i="2"/>
  <c r="F9" i="2"/>
  <c r="D47" i="3"/>
  <c r="B19" i="2"/>
  <c r="K26" i="1"/>
  <c r="K13" i="1"/>
  <c r="K23" i="1"/>
  <c r="K15" i="1"/>
  <c r="K21" i="1"/>
  <c r="K22" i="1"/>
  <c r="K19" i="1"/>
  <c r="K12" i="1"/>
  <c r="K18" i="1"/>
  <c r="K20" i="1"/>
  <c r="K25" i="1"/>
  <c r="K17" i="1"/>
  <c r="K24" i="1"/>
  <c r="C12" i="1" l="1"/>
  <c r="C17" i="1"/>
  <c r="C13" i="1"/>
  <c r="C14" i="1"/>
  <c r="C15" i="1"/>
  <c r="C16" i="1"/>
  <c r="A1" i="2" l="1"/>
  <c r="K27" i="1" l="1"/>
  <c r="C49" i="3" l="1"/>
  <c r="F6" i="1"/>
  <c r="G6" i="1" s="1"/>
  <c r="E3" i="2" l="1"/>
  <c r="J6" i="1"/>
  <c r="J5" i="1"/>
  <c r="B2" i="2"/>
  <c r="K5" i="1" l="1"/>
  <c r="K6" i="1" s="1"/>
  <c r="K7" i="1" s="1"/>
  <c r="K9" i="1" s="1"/>
  <c r="J7" i="1"/>
  <c r="J8" i="1" s="1"/>
  <c r="J9" i="1" l="1"/>
  <c r="D4" i="2" l="1"/>
  <c r="D19" i="2" s="1"/>
  <c r="F4" i="2" l="1"/>
  <c r="F19" i="2" s="1"/>
  <c r="E4" i="2"/>
  <c r="E19" i="2" s="1"/>
  <c r="H7" i="2" l="1"/>
  <c r="H15" i="2"/>
  <c r="H5" i="2"/>
  <c r="H14" i="2"/>
  <c r="H8" i="2"/>
  <c r="H16" i="2"/>
  <c r="H9" i="2"/>
  <c r="H17" i="2"/>
  <c r="H13" i="2"/>
  <c r="H6" i="2"/>
  <c r="H10" i="2"/>
  <c r="H18" i="2"/>
  <c r="H11" i="2"/>
  <c r="H12" i="2"/>
  <c r="G4" i="2"/>
  <c r="G19" i="2" s="1"/>
  <c r="B40" i="3" l="1"/>
  <c r="D40" i="3" s="1"/>
  <c r="E19" i="1"/>
  <c r="E23" i="1"/>
  <c r="B44" i="3"/>
  <c r="D44" i="3" s="1"/>
  <c r="E18" i="1"/>
  <c r="B39" i="3"/>
  <c r="D39" i="3" s="1"/>
  <c r="E25" i="1"/>
  <c r="B46" i="3"/>
  <c r="D46" i="3" s="1"/>
  <c r="B36" i="3"/>
  <c r="D36" i="3" s="1"/>
  <c r="E15" i="1"/>
  <c r="E17" i="1"/>
  <c r="B38" i="3"/>
  <c r="D38" i="3" s="1"/>
  <c r="E21" i="1"/>
  <c r="B42" i="3"/>
  <c r="D42" i="3" s="1"/>
  <c r="E24" i="1"/>
  <c r="B45" i="3"/>
  <c r="D45" i="3" s="1"/>
  <c r="B33" i="3"/>
  <c r="D33" i="3" s="1"/>
  <c r="E12" i="1"/>
  <c r="E13" i="1"/>
  <c r="B34" i="3"/>
  <c r="D34" i="3" s="1"/>
  <c r="E20" i="1"/>
  <c r="B41" i="3"/>
  <c r="D41" i="3" s="1"/>
  <c r="E22" i="1"/>
  <c r="B43" i="3"/>
  <c r="D43" i="3" s="1"/>
  <c r="B37" i="3"/>
  <c r="D37" i="3" s="1"/>
  <c r="E16" i="1"/>
  <c r="H4" i="2"/>
  <c r="H19" i="2" s="1"/>
  <c r="E14" i="1"/>
  <c r="B35" i="3"/>
  <c r="D35" i="3" s="1"/>
  <c r="E11" i="1" l="1"/>
  <c r="E26" i="1" s="1"/>
  <c r="E27" i="1" s="1"/>
  <c r="C22" i="2" s="1"/>
  <c r="B48" i="3" s="1"/>
  <c r="D48" i="3" s="1"/>
  <c r="B32" i="3"/>
  <c r="D32" i="3" s="1"/>
  <c r="B49" i="3" l="1"/>
  <c r="D49" i="3" s="1"/>
</calcChain>
</file>

<file path=xl/sharedStrings.xml><?xml version="1.0" encoding="utf-8"?>
<sst xmlns="http://schemas.openxmlformats.org/spreadsheetml/2006/main" count="491" uniqueCount="84">
  <si>
    <t>ENTIDAD</t>
  </si>
  <si>
    <t>GUERRERO</t>
  </si>
  <si>
    <t>FASE</t>
  </si>
  <si>
    <t>PROCESO ELECTORAL LOCAL 2023-2024</t>
  </si>
  <si>
    <t>Validaciones</t>
  </si>
  <si>
    <t>DIAS</t>
  </si>
  <si>
    <t>MINUTOS</t>
  </si>
  <si>
    <t>PROMOCIONALES DIARIOS</t>
  </si>
  <si>
    <t>PROMOCIONALES PERIODO</t>
  </si>
  <si>
    <t>PORCENTAJE MÍNIMO</t>
  </si>
  <si>
    <t>Núm. de PP:</t>
  </si>
  <si>
    <t>Sobrantes del 30%</t>
  </si>
  <si>
    <t>PARTIDOS</t>
  </si>
  <si>
    <t>PORCENTAJE DE VOTACIÓN</t>
  </si>
  <si>
    <t>PORCENTAJE CORRESPONDIENTE AL 70%</t>
  </si>
  <si>
    <t>PROMOCIONALES PRECAMPAÑA</t>
  </si>
  <si>
    <t xml:space="preserve">TABLA DE RESULTADOS DE LA VOTACIÓN NACIONAL EMITIDA DIPUTACIONES DE MAYORÍA RELATIVA </t>
  </si>
  <si>
    <t xml:space="preserve">PAN </t>
  </si>
  <si>
    <t>PARTICIPANTES</t>
  </si>
  <si>
    <t>VOTACION</t>
  </si>
  <si>
    <t>PORCENTAJE</t>
  </si>
  <si>
    <t>PRI</t>
  </si>
  <si>
    <t>Partido Acción Nacional</t>
  </si>
  <si>
    <t>PRD</t>
  </si>
  <si>
    <t>Partido Revolucionario Institucional</t>
  </si>
  <si>
    <t>PT</t>
  </si>
  <si>
    <t>Partido de la Revolución Democrática</t>
  </si>
  <si>
    <t>PVEM</t>
  </si>
  <si>
    <t>Partido del Trabajo</t>
  </si>
  <si>
    <t>MC</t>
  </si>
  <si>
    <t>Partido Verde Ecologista de México</t>
  </si>
  <si>
    <t>MORENA</t>
  </si>
  <si>
    <t>Movimiento Ciudadano</t>
  </si>
  <si>
    <t>MA</t>
  </si>
  <si>
    <t>Morena</t>
  </si>
  <si>
    <t>FXM</t>
  </si>
  <si>
    <t>México Avanza</t>
  </si>
  <si>
    <t>PSG</t>
  </si>
  <si>
    <t>Fuerza por México Guerrero</t>
  </si>
  <si>
    <t>PES</t>
  </si>
  <si>
    <t>Partido de la Sustentabilidad Guerrerense</t>
  </si>
  <si>
    <t>PAC</t>
  </si>
  <si>
    <t>Partido Encuentro Solidario Guerrero</t>
  </si>
  <si>
    <t>MLG</t>
  </si>
  <si>
    <t>Partido Alianza Ciudadana</t>
  </si>
  <si>
    <t>PBG</t>
  </si>
  <si>
    <t>Movimiento Laborista Guerrero</t>
  </si>
  <si>
    <t>REGENERACIÓN</t>
  </si>
  <si>
    <t>Partido del Bienestar Guerrero</t>
  </si>
  <si>
    <t>TOTAL</t>
  </si>
  <si>
    <t>Regeneración</t>
  </si>
  <si>
    <t>Promocionales sobrantes para el INE:</t>
  </si>
  <si>
    <t xml:space="preserve">VOTACIÓN </t>
  </si>
  <si>
    <t>Partido político</t>
  </si>
  <si>
    <t>Promocionales que le corresponde a cada partido político
(A + C)</t>
  </si>
  <si>
    <t>Promocionales aplicando la cláusula de maximización
(Art. 15, numeral 12 del RRTME)</t>
  </si>
  <si>
    <t>Fracciones de promocionales sobrantes del 30% igualitario</t>
  </si>
  <si>
    <t>Porcentaje correspondiente al 70%
(resultados de la última elección de Diputaciones Locales)</t>
  </si>
  <si>
    <t>Fracciones de promocionales sobrantes del 70% proporcional</t>
  </si>
  <si>
    <t>morena</t>
  </si>
  <si>
    <t>PRECAMPAÑA</t>
  </si>
  <si>
    <t>N° Promocional</t>
  </si>
  <si>
    <t>MA-L</t>
  </si>
  <si>
    <t>PRI-L</t>
  </si>
  <si>
    <t>MORENA-L</t>
  </si>
  <si>
    <t>PRD-L</t>
  </si>
  <si>
    <t>MC-L</t>
  </si>
  <si>
    <t>PVEM-L</t>
  </si>
  <si>
    <t>PAN-L</t>
  </si>
  <si>
    <t>PBG-L</t>
  </si>
  <si>
    <t>MLG-L</t>
  </si>
  <si>
    <t>REGENERACIÓN-L</t>
  </si>
  <si>
    <t>PAC-L</t>
  </si>
  <si>
    <t>PSG-L</t>
  </si>
  <si>
    <t>INE</t>
  </si>
  <si>
    <t>PES-L</t>
  </si>
  <si>
    <t>FXMG-L</t>
  </si>
  <si>
    <t>PT-L</t>
  </si>
  <si>
    <t>Partido</t>
  </si>
  <si>
    <t>Promocionales</t>
  </si>
  <si>
    <t>Conteo</t>
  </si>
  <si>
    <t>Diferencia</t>
  </si>
  <si>
    <t>SORTEO</t>
  </si>
  <si>
    <t>C.I.-L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</si>
</sst>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64" formatCode="0.0000"/>
    <numFmt numFmtId="165" formatCode="0.0"/>
    <numFmt numFmtId="166" formatCode="dd"/>
    <numFmt numFmtId="167" formatCode="mmm"/>
    <numFmt numFmtId="168" formatCode="ddd"/>
    <numFmt numFmtId="169" formatCode="#,##0.000"/>
    <numFmt numFmtId="170" formatCode="0.0000000000"/>
  </numFmts>
  <fonts count="35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rgb="FFFFFFFF"/>
      <name val="Arial"/>
      <family val="2"/>
    </font>
    <font>
      <b/>
      <sz val="11"/>
      <color rgb="FF000000"/>
      <name val="Arial"/>
      <family val="2"/>
    </font>
    <font>
      <b/>
      <sz val="11"/>
      <color rgb="FFFFFF66"/>
      <name val="Arial"/>
      <family val="2"/>
    </font>
    <font>
      <b/>
      <sz val="11"/>
      <color rgb="FFD22881"/>
      <name val="Arial"/>
      <family val="2"/>
    </font>
    <font>
      <sz val="11"/>
      <color indexed="8"/>
      <name val="Calibri"/>
      <family val="2"/>
      <scheme val="minor"/>
    </font>
    <font>
      <b/>
      <sz val="9"/>
      <color theme="1"/>
      <name val="Arial Narrow"/>
      <family val="2"/>
    </font>
    <font>
      <sz val="9"/>
      <name val="Arial Narrow"/>
      <family val="2"/>
    </font>
    <font>
      <b/>
      <sz val="9"/>
      <color rgb="FF000000"/>
      <name val="Arial Narrow"/>
      <family val="2"/>
    </font>
    <font>
      <b/>
      <sz val="9"/>
      <color theme="1" tint="0.34998626667073579"/>
      <name val="Arial Narrow"/>
      <family val="2"/>
    </font>
    <font>
      <b/>
      <sz val="11"/>
      <color rgb="FF474343"/>
      <name val="Calibri"/>
      <family val="2"/>
    </font>
    <font>
      <b/>
      <sz val="11"/>
      <color rgb="FF982222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b/>
      <sz val="11"/>
      <color rgb="FFFFFF66"/>
      <name val="Calibri"/>
      <family val="2"/>
    </font>
    <font>
      <b/>
      <sz val="11"/>
      <color rgb="FFFF0303"/>
      <name val="Calibri"/>
      <family val="2"/>
    </font>
    <font>
      <b/>
      <sz val="11"/>
      <color rgb="FF000000"/>
      <name val="Calibri"/>
      <family val="2"/>
    </font>
    <font>
      <b/>
      <sz val="11"/>
      <color theme="7" tint="0.59999389629810485"/>
      <name val="Calibri"/>
      <family val="2"/>
    </font>
    <font>
      <b/>
      <sz val="11"/>
      <color rgb="FF474343"/>
      <name val="Arial"/>
      <family val="2"/>
    </font>
    <font>
      <b/>
      <sz val="11"/>
      <color theme="7" tint="0.59999389629810485"/>
      <name val="Arial"/>
      <family val="2"/>
    </font>
    <font>
      <b/>
      <sz val="11"/>
      <color rgb="FF982222"/>
      <name val="Arial"/>
      <family val="2"/>
    </font>
    <font>
      <b/>
      <sz val="11"/>
      <color rgb="FFFF0303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5007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130A0"/>
      </patternFill>
    </fill>
    <fill>
      <patternFill patternType="solid">
        <fgColor rgb="FFAF2730"/>
      </patternFill>
    </fill>
    <fill>
      <patternFill patternType="solid">
        <fgColor rgb="FFF78E1E"/>
      </patternFill>
    </fill>
    <fill>
      <patternFill patternType="solid">
        <fgColor rgb="FF00478E"/>
      </patternFill>
    </fill>
    <fill>
      <patternFill patternType="solid">
        <fgColor rgb="FFF7D217"/>
      </patternFill>
    </fill>
    <fill>
      <patternFill patternType="solid">
        <fgColor rgb="FF00B141"/>
      </patternFill>
    </fill>
    <fill>
      <patternFill patternType="solid">
        <fgColor rgb="FFFFA600"/>
      </patternFill>
    </fill>
    <fill>
      <patternFill patternType="solid">
        <fgColor rgb="FFFFFFFF"/>
      </patternFill>
    </fill>
    <fill>
      <patternFill patternType="solid">
        <fgColor rgb="FF007B33"/>
      </patternFill>
    </fill>
    <fill>
      <patternFill patternType="solid">
        <fgColor rgb="FF983DFA"/>
      </patternFill>
    </fill>
    <fill>
      <patternFill patternType="solid">
        <fgColor rgb="FFFF00DD"/>
      </patternFill>
    </fill>
    <fill>
      <patternFill patternType="solid">
        <fgColor rgb="FFFF530F"/>
      </patternFill>
    </fill>
    <fill>
      <patternFill patternType="solid">
        <fgColor rgb="FF9C3838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theme="0" tint="-0.249977111117893"/>
      </left>
      <right style="medium">
        <color theme="0" tint="-0.249977111117893"/>
      </right>
      <top style="medium">
        <color theme="0" tint="-0.249977111117893"/>
      </top>
      <bottom style="medium">
        <color theme="0" tint="-0.249977111117893"/>
      </bottom>
      <diagonal/>
    </border>
    <border>
      <left style="medium">
        <color theme="0" tint="-0.34998626667073579"/>
      </left>
      <right style="medium">
        <color theme="0" tint="-0.34998626667073579"/>
      </right>
      <top/>
      <bottom style="medium">
        <color theme="0" tint="-0.34998626667073579"/>
      </bottom>
      <diagonal/>
    </border>
  </borders>
  <cellStyleXfs count="12">
    <xf numFmtId="0" fontId="0" fillId="0" borderId="0"/>
    <xf numFmtId="0" fontId="3" fillId="0" borderId="0"/>
    <xf numFmtId="0" fontId="3" fillId="0" borderId="0"/>
    <xf numFmtId="9" fontId="4" fillId="0" borderId="0" applyFont="0" applyFill="0" applyBorder="0" applyAlignment="0" applyProtection="0"/>
    <xf numFmtId="0" fontId="5" fillId="0" borderId="0"/>
    <xf numFmtId="0" fontId="3" fillId="0" borderId="0"/>
    <xf numFmtId="0" fontId="3" fillId="0" borderId="0"/>
    <xf numFmtId="0" fontId="6" fillId="0" borderId="0"/>
    <xf numFmtId="9" fontId="6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</cellStyleXfs>
  <cellXfs count="111">
    <xf numFmtId="0" fontId="0" fillId="0" borderId="0" xfId="0"/>
    <xf numFmtId="0" fontId="8" fillId="0" borderId="0" xfId="0" applyFont="1"/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2" fillId="0" borderId="0" xfId="0" applyFont="1"/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Alignment="1">
      <alignment vertical="center"/>
    </xf>
    <xf numFmtId="0" fontId="7" fillId="4" borderId="2" xfId="5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3" fontId="8" fillId="0" borderId="0" xfId="0" applyNumberFormat="1" applyFont="1"/>
    <xf numFmtId="166" fontId="8" fillId="5" borderId="1" xfId="0" applyNumberFormat="1" applyFont="1" applyFill="1" applyBorder="1" applyAlignment="1">
      <alignment horizontal="center" vertical="center"/>
    </xf>
    <xf numFmtId="167" fontId="8" fillId="5" borderId="1" xfId="0" applyNumberFormat="1" applyFont="1" applyFill="1" applyBorder="1" applyAlignment="1">
      <alignment horizontal="center" vertical="center"/>
    </xf>
    <xf numFmtId="168" fontId="8" fillId="5" borderId="1" xfId="0" applyNumberFormat="1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7" borderId="1" xfId="0" applyFont="1" applyFill="1" applyBorder="1" applyAlignment="1">
      <alignment horizontal="center"/>
    </xf>
    <xf numFmtId="0" fontId="8" fillId="0" borderId="0" xfId="0" applyFont="1" applyAlignment="1">
      <alignment vertical="center"/>
    </xf>
    <xf numFmtId="1" fontId="8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/>
    </xf>
    <xf numFmtId="9" fontId="8" fillId="0" borderId="1" xfId="0" applyNumberFormat="1" applyFont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169" fontId="8" fillId="8" borderId="6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70" fontId="8" fillId="9" borderId="1" xfId="0" applyNumberFormat="1" applyFont="1" applyFill="1" applyBorder="1" applyAlignment="1">
      <alignment horizontal="right" vertical="center"/>
    </xf>
    <xf numFmtId="170" fontId="10" fillId="0" borderId="1" xfId="0" applyNumberFormat="1" applyFont="1" applyBorder="1" applyAlignment="1">
      <alignment horizontal="center" vertical="center" wrapText="1"/>
    </xf>
    <xf numFmtId="170" fontId="9" fillId="3" borderId="1" xfId="0" applyNumberFormat="1" applyFont="1" applyFill="1" applyBorder="1" applyAlignment="1">
      <alignment horizontal="center" vertical="center" wrapText="1"/>
    </xf>
    <xf numFmtId="0" fontId="14" fillId="10" borderId="1" xfId="9" applyFont="1" applyFill="1" applyBorder="1" applyAlignment="1">
      <alignment horizontal="center" vertical="center"/>
    </xf>
    <xf numFmtId="0" fontId="14" fillId="11" borderId="1" xfId="10" applyFont="1" applyFill="1" applyBorder="1" applyAlignment="1">
      <alignment horizontal="center" vertical="center"/>
    </xf>
    <xf numFmtId="0" fontId="14" fillId="12" borderId="1" xfId="10" applyFont="1" applyFill="1" applyBorder="1" applyAlignment="1">
      <alignment horizontal="center" vertical="center"/>
    </xf>
    <xf numFmtId="0" fontId="14" fillId="6" borderId="1" xfId="10" applyFont="1" applyFill="1" applyBorder="1" applyAlignment="1">
      <alignment horizontal="center" vertical="center"/>
    </xf>
    <xf numFmtId="0" fontId="14" fillId="13" borderId="1" xfId="10" applyFont="1" applyFill="1" applyBorder="1" applyAlignment="1">
      <alignment horizontal="center" vertical="center"/>
    </xf>
    <xf numFmtId="0" fontId="15" fillId="14" borderId="1" xfId="10" applyFont="1" applyFill="1" applyBorder="1" applyAlignment="1">
      <alignment horizontal="center" vertical="center"/>
    </xf>
    <xf numFmtId="0" fontId="16" fillId="6" borderId="1" xfId="10" applyFont="1" applyFill="1" applyBorder="1" applyAlignment="1">
      <alignment horizontal="center" vertical="center"/>
    </xf>
    <xf numFmtId="0" fontId="14" fillId="15" borderId="1" xfId="10" applyFont="1" applyFill="1" applyBorder="1" applyAlignment="1">
      <alignment horizontal="center" vertical="center"/>
    </xf>
    <xf numFmtId="0" fontId="19" fillId="0" borderId="8" xfId="0" applyFont="1" applyBorder="1" applyAlignment="1">
      <alignment vertical="center" wrapText="1"/>
    </xf>
    <xf numFmtId="3" fontId="20" fillId="0" borderId="8" xfId="0" applyNumberFormat="1" applyFont="1" applyBorder="1" applyAlignment="1">
      <alignment horizontal="center" vertical="center"/>
    </xf>
    <xf numFmtId="0" fontId="21" fillId="0" borderId="8" xfId="0" applyFont="1" applyBorder="1" applyAlignment="1">
      <alignment horizontal="left" vertical="center" wrapText="1"/>
    </xf>
    <xf numFmtId="0" fontId="22" fillId="9" borderId="9" xfId="0" applyFont="1" applyFill="1" applyBorder="1" applyAlignment="1">
      <alignment horizontal="center" vertical="center" wrapText="1"/>
    </xf>
    <xf numFmtId="3" fontId="22" fillId="9" borderId="9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31" fillId="16" borderId="1" xfId="11" applyFont="1" applyFill="1" applyBorder="1" applyAlignment="1">
      <alignment horizontal="center" vertical="center"/>
    </xf>
    <xf numFmtId="0" fontId="32" fillId="22" borderId="1" xfId="11" applyFont="1" applyFill="1" applyBorder="1" applyAlignment="1">
      <alignment horizontal="center" vertical="center"/>
    </xf>
    <xf numFmtId="0" fontId="33" fillId="17" borderId="1" xfId="11" applyFont="1" applyFill="1" applyBorder="1" applyAlignment="1">
      <alignment horizontal="center" vertical="center"/>
    </xf>
    <xf numFmtId="0" fontId="34" fillId="17" borderId="1" xfId="11" applyFont="1" applyFill="1" applyBorder="1" applyAlignment="1">
      <alignment horizontal="center" vertical="center"/>
    </xf>
    <xf numFmtId="0" fontId="8" fillId="0" borderId="1" xfId="0" applyFont="1" applyBorder="1"/>
    <xf numFmtId="0" fontId="23" fillId="16" borderId="1" xfId="11" applyFont="1" applyFill="1" applyBorder="1" applyAlignment="1">
      <alignment horizontal="center" vertical="center"/>
    </xf>
    <xf numFmtId="0" fontId="24" fillId="17" borderId="1" xfId="11" applyFont="1" applyFill="1" applyBorder="1" applyAlignment="1">
      <alignment horizontal="center" vertical="center"/>
    </xf>
    <xf numFmtId="0" fontId="25" fillId="18" borderId="1" xfId="11" applyFont="1" applyFill="1" applyBorder="1" applyAlignment="1">
      <alignment horizontal="center" vertical="center"/>
    </xf>
    <xf numFmtId="0" fontId="26" fillId="19" borderId="1" xfId="11" applyFont="1" applyFill="1" applyBorder="1" applyAlignment="1">
      <alignment horizontal="center" vertical="center"/>
    </xf>
    <xf numFmtId="0" fontId="27" fillId="6" borderId="1" xfId="11" applyFont="1" applyFill="1" applyBorder="1" applyAlignment="1">
      <alignment horizontal="center" vertical="center"/>
    </xf>
    <xf numFmtId="0" fontId="26" fillId="21" borderId="1" xfId="11" applyFont="1" applyFill="1" applyBorder="1" applyAlignment="1">
      <alignment horizontal="center" vertical="center"/>
    </xf>
    <xf numFmtId="0" fontId="26" fillId="13" borderId="1" xfId="11" applyFont="1" applyFill="1" applyBorder="1" applyAlignment="1">
      <alignment horizontal="center" vertical="center"/>
    </xf>
    <xf numFmtId="0" fontId="26" fillId="15" borderId="1" xfId="11" applyFont="1" applyFill="1" applyBorder="1" applyAlignment="1">
      <alignment horizontal="center" vertical="center"/>
    </xf>
    <xf numFmtId="0" fontId="28" fillId="17" borderId="1" xfId="11" applyFont="1" applyFill="1" applyBorder="1" applyAlignment="1">
      <alignment horizontal="center" vertical="center"/>
    </xf>
    <xf numFmtId="0" fontId="29" fillId="14" borderId="1" xfId="11" applyFont="1" applyFill="1" applyBorder="1" applyAlignment="1">
      <alignment horizontal="center" vertical="center"/>
    </xf>
    <xf numFmtId="0" fontId="26" fillId="6" borderId="1" xfId="11" applyFont="1" applyFill="1" applyBorder="1" applyAlignment="1">
      <alignment horizontal="center" vertical="center"/>
    </xf>
    <xf numFmtId="0" fontId="26" fillId="11" borderId="1" xfId="11" applyFont="1" applyFill="1" applyBorder="1" applyAlignment="1">
      <alignment horizontal="center" vertical="center"/>
    </xf>
    <xf numFmtId="0" fontId="26" fillId="12" borderId="1" xfId="11" applyFont="1" applyFill="1" applyBorder="1" applyAlignment="1">
      <alignment horizontal="center" vertical="center"/>
    </xf>
    <xf numFmtId="14" fontId="1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4" fillId="6" borderId="1" xfId="11" applyFont="1" applyFill="1" applyBorder="1" applyAlignment="1">
      <alignment horizontal="center" vertical="center"/>
    </xf>
    <xf numFmtId="0" fontId="14" fillId="11" borderId="1" xfId="11" applyFont="1" applyFill="1" applyBorder="1" applyAlignment="1">
      <alignment horizontal="center" vertical="center"/>
    </xf>
    <xf numFmtId="0" fontId="15" fillId="14" borderId="1" xfId="11" applyFont="1" applyFill="1" applyBorder="1" applyAlignment="1">
      <alignment horizontal="center" vertical="center"/>
    </xf>
    <xf numFmtId="0" fontId="14" fillId="12" borderId="1" xfId="11" applyFont="1" applyFill="1" applyBorder="1" applyAlignment="1">
      <alignment horizontal="center" vertical="center"/>
    </xf>
    <xf numFmtId="0" fontId="14" fillId="15" borderId="1" xfId="11" applyFont="1" applyFill="1" applyBorder="1" applyAlignment="1">
      <alignment horizontal="center" vertical="center"/>
    </xf>
    <xf numFmtId="0" fontId="14" fillId="13" borderId="1" xfId="11" applyFont="1" applyFill="1" applyBorder="1" applyAlignment="1">
      <alignment horizontal="center" vertical="center"/>
    </xf>
    <xf numFmtId="0" fontId="14" fillId="21" borderId="1" xfId="11" applyFont="1" applyFill="1" applyBorder="1" applyAlignment="1">
      <alignment horizontal="center" vertical="center"/>
    </xf>
    <xf numFmtId="0" fontId="11" fillId="18" borderId="1" xfId="11" applyFont="1" applyFill="1" applyBorder="1" applyAlignment="1">
      <alignment horizontal="center" vertical="center"/>
    </xf>
    <xf numFmtId="0" fontId="14" fillId="19" borderId="1" xfId="11" applyFont="1" applyFill="1" applyBorder="1" applyAlignment="1">
      <alignment horizontal="center" vertical="center"/>
    </xf>
    <xf numFmtId="0" fontId="14" fillId="20" borderId="1" xfId="11" applyFont="1" applyFill="1" applyBorder="1" applyAlignment="1">
      <alignment horizontal="center" vertical="center"/>
    </xf>
    <xf numFmtId="0" fontId="16" fillId="6" borderId="1" xfId="11" applyFont="1" applyFill="1" applyBorder="1" applyAlignment="1">
      <alignment horizontal="center" vertical="center"/>
    </xf>
    <xf numFmtId="0" fontId="30" fillId="22" borderId="1" xfId="11" applyFont="1" applyFill="1" applyBorder="1" applyAlignment="1">
      <alignment horizontal="center" vertical="center"/>
    </xf>
    <xf numFmtId="0" fontId="28" fillId="17" borderId="1" xfId="11" applyFont="1" applyFill="1" applyBorder="1" applyAlignment="1">
      <alignment horizontal="center" vertical="center" wrapText="1"/>
    </xf>
    <xf numFmtId="164" fontId="10" fillId="0" borderId="0" xfId="0" applyNumberFormat="1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1" fillId="0" borderId="0" xfId="0" applyNumberFormat="1" applyFont="1"/>
    <xf numFmtId="0" fontId="1" fillId="0" borderId="6" xfId="0" applyFont="1" applyBorder="1" applyAlignment="1">
      <alignment horizontal="center" vertical="center"/>
    </xf>
    <xf numFmtId="170" fontId="1" fillId="0" borderId="1" xfId="0" applyNumberFormat="1" applyFon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170" fontId="1" fillId="0" borderId="1" xfId="8" applyNumberFormat="1" applyFont="1" applyBorder="1"/>
    <xf numFmtId="3" fontId="1" fillId="0" borderId="0" xfId="0" applyNumberFormat="1" applyFont="1"/>
    <xf numFmtId="0" fontId="7" fillId="4" borderId="2" xfId="5" applyFont="1" applyFill="1" applyBorder="1" applyAlignment="1">
      <alignment horizontal="center" vertical="center" wrapText="1"/>
    </xf>
    <xf numFmtId="0" fontId="7" fillId="4" borderId="5" xfId="5" applyFont="1" applyFill="1" applyBorder="1" applyAlignment="1">
      <alignment horizontal="center" vertical="center" wrapText="1"/>
    </xf>
    <xf numFmtId="0" fontId="7" fillId="4" borderId="3" xfId="5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9" fontId="9" fillId="2" borderId="4" xfId="0" applyNumberFormat="1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</cellXfs>
  <cellStyles count="12">
    <cellStyle name="Normal" xfId="0" builtinId="0"/>
    <cellStyle name="Normal 10 3 2" xfId="6" xr:uid="{00000000-0005-0000-0000-000001000000}"/>
    <cellStyle name="Normal 2" xfId="1" xr:uid="{00000000-0005-0000-0000-000002000000}"/>
    <cellStyle name="Normal 2 2" xfId="9" xr:uid="{B7AD85DA-DC1A-47CB-98AD-85D3002F1C7E}"/>
    <cellStyle name="Normal 2 2 2 2" xfId="5" xr:uid="{00000000-0005-0000-0000-000003000000}"/>
    <cellStyle name="Normal 2 3" xfId="4" xr:uid="{00000000-0005-0000-0000-000004000000}"/>
    <cellStyle name="Normal 2 4" xfId="11" xr:uid="{87114093-29FE-443C-98D9-61A9E919F746}"/>
    <cellStyle name="Normal 3" xfId="2" xr:uid="{00000000-0005-0000-0000-000005000000}"/>
    <cellStyle name="Normal 4" xfId="10" xr:uid="{35F480C3-A395-4BC5-B867-44216E10EDCC}"/>
    <cellStyle name="Normal 4 3 3 2" xfId="7" xr:uid="{00000000-0005-0000-0000-000006000000}"/>
    <cellStyle name="Porcentaje" xfId="8" builtinId="5"/>
    <cellStyle name="Porcentual 2" xfId="3" xr:uid="{00000000-0005-0000-0000-000007000000}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Invisible" pivot="0" table="0" count="0" xr9:uid="{1C986A4E-6EE6-476D-B3BF-6D4497185045}"/>
  </tableStyles>
  <colors>
    <mruColors>
      <color rgb="FF00FF00"/>
      <color rgb="FFD5007F"/>
      <color rgb="FFE4DFEC"/>
      <color rgb="FFBFC2C1"/>
      <color rgb="FFDE417C"/>
      <color rgb="FFD3322C"/>
      <color rgb="FF295684"/>
      <color rgb="FF4D2654"/>
      <color rgb="FFA64686"/>
      <color rgb="FFA3322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1"/>
  <sheetViews>
    <sheetView topLeftCell="B1" zoomScale="70" zoomScaleNormal="70" zoomScaleSheetLayoutView="110" workbookViewId="0">
      <selection activeCell="F15" sqref="F15"/>
    </sheetView>
  </sheetViews>
  <sheetFormatPr defaultColWidth="11.5703125" defaultRowHeight="13.9"/>
  <cols>
    <col min="1" max="1" width="3.140625" style="12" customWidth="1"/>
    <col min="2" max="2" width="13" style="4" customWidth="1"/>
    <col min="3" max="3" width="16.85546875" style="4" customWidth="1"/>
    <col min="4" max="6" width="23.7109375" style="4" customWidth="1"/>
    <col min="7" max="7" width="19.7109375" style="4" customWidth="1"/>
    <col min="8" max="8" width="13.7109375" style="4" customWidth="1"/>
    <col min="9" max="9" width="45.140625" style="4" bestFit="1" customWidth="1"/>
    <col min="10" max="10" width="14.5703125" style="4" customWidth="1"/>
    <col min="11" max="11" width="20" style="4" customWidth="1"/>
    <col min="12" max="12" width="8" style="4" customWidth="1"/>
    <col min="13" max="13" width="23.42578125" style="4" customWidth="1"/>
    <col min="14" max="14" width="14" style="4" bestFit="1" customWidth="1"/>
    <col min="15" max="16384" width="11.5703125" style="4"/>
  </cols>
  <sheetData>
    <row r="1" spans="2:17" ht="19.899999999999999" customHeight="1"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</row>
    <row r="2" spans="2:17" ht="19.899999999999999" customHeight="1">
      <c r="B2" s="8" t="s">
        <v>0</v>
      </c>
      <c r="C2" s="83" t="s">
        <v>1</v>
      </c>
      <c r="D2" s="66"/>
      <c r="E2" s="96"/>
      <c r="F2" s="96"/>
      <c r="G2" s="96"/>
      <c r="H2" s="66"/>
      <c r="I2" s="66"/>
      <c r="J2" s="66"/>
      <c r="K2" s="66"/>
      <c r="L2" s="66"/>
      <c r="M2" s="66"/>
      <c r="N2" s="66"/>
      <c r="O2" s="66"/>
      <c r="P2" s="66"/>
      <c r="Q2" s="66"/>
    </row>
    <row r="3" spans="2:17" ht="19.899999999999999" customHeight="1"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</row>
    <row r="4" spans="2:17" ht="25.15" customHeight="1">
      <c r="B4" s="97" t="s">
        <v>2</v>
      </c>
      <c r="C4" s="98"/>
      <c r="D4" s="97" t="s">
        <v>3</v>
      </c>
      <c r="E4" s="97"/>
      <c r="F4" s="97"/>
      <c r="G4" s="97"/>
      <c r="H4" s="66"/>
      <c r="I4" s="101" t="s">
        <v>4</v>
      </c>
      <c r="J4" s="102"/>
      <c r="K4" s="103"/>
      <c r="L4" s="66"/>
      <c r="M4" s="66"/>
      <c r="N4" s="66"/>
      <c r="O4" s="66"/>
      <c r="P4" s="66"/>
      <c r="Q4" s="66"/>
    </row>
    <row r="5" spans="2:17" ht="25.15" customHeight="1">
      <c r="B5" s="97"/>
      <c r="C5" s="98"/>
      <c r="D5" s="13" t="s">
        <v>5</v>
      </c>
      <c r="E5" s="13" t="s">
        <v>6</v>
      </c>
      <c r="F5" s="13" t="s">
        <v>7</v>
      </c>
      <c r="G5" s="13" t="s">
        <v>8</v>
      </c>
      <c r="H5" s="66"/>
      <c r="I5" s="26">
        <v>0.3</v>
      </c>
      <c r="J5" s="85">
        <f>G6*0.3</f>
        <v>112.2</v>
      </c>
      <c r="K5" s="83">
        <f>J5/G8</f>
        <v>7.48</v>
      </c>
      <c r="L5" s="66"/>
      <c r="M5" s="66"/>
      <c r="N5" s="66"/>
      <c r="O5" s="66"/>
      <c r="P5" s="66"/>
      <c r="Q5" s="66"/>
    </row>
    <row r="6" spans="2:17" ht="19.899999999999999" customHeight="1">
      <c r="B6" s="98">
        <v>1</v>
      </c>
      <c r="C6" s="98"/>
      <c r="D6" s="84">
        <v>17</v>
      </c>
      <c r="E6" s="84">
        <v>11</v>
      </c>
      <c r="F6" s="84">
        <f>E6*2</f>
        <v>22</v>
      </c>
      <c r="G6" s="84">
        <f>D6*F6</f>
        <v>374</v>
      </c>
      <c r="H6" s="66"/>
      <c r="I6" s="26">
        <v>0.7</v>
      </c>
      <c r="J6" s="85">
        <f>G6*0.7</f>
        <v>261.8</v>
      </c>
      <c r="K6" s="27">
        <f>TRUNC(K5)</f>
        <v>7</v>
      </c>
      <c r="L6" s="66"/>
      <c r="M6" s="66"/>
      <c r="N6" s="66"/>
      <c r="O6" s="66"/>
      <c r="P6" s="66"/>
      <c r="Q6" s="66"/>
    </row>
    <row r="7" spans="2:17" ht="19.899999999999999" customHeight="1">
      <c r="B7" s="66"/>
      <c r="C7" s="66"/>
      <c r="D7" s="66"/>
      <c r="E7" s="66"/>
      <c r="F7" s="66"/>
      <c r="G7" s="86"/>
      <c r="H7" s="66"/>
      <c r="I7" s="66"/>
      <c r="J7" s="85">
        <f>SUM(J5:J6)</f>
        <v>374</v>
      </c>
      <c r="K7" s="27">
        <f>K6*G8</f>
        <v>105</v>
      </c>
      <c r="L7" s="66"/>
      <c r="M7" s="66"/>
      <c r="N7" s="66"/>
      <c r="O7" s="66"/>
      <c r="P7" s="66"/>
      <c r="Q7" s="66"/>
    </row>
    <row r="8" spans="2:17" ht="25.15" customHeight="1">
      <c r="B8" s="99" t="s">
        <v>9</v>
      </c>
      <c r="C8" s="100"/>
      <c r="D8" s="83">
        <v>3</v>
      </c>
      <c r="E8" s="66"/>
      <c r="F8" s="83" t="s">
        <v>10</v>
      </c>
      <c r="G8" s="21">
        <v>15</v>
      </c>
      <c r="H8" s="66"/>
      <c r="I8" s="66"/>
      <c r="J8" s="83" t="b">
        <f>G6=J7</f>
        <v>1</v>
      </c>
      <c r="K8" s="83" t="s">
        <v>11</v>
      </c>
      <c r="L8" s="66"/>
      <c r="M8"/>
      <c r="N8"/>
      <c r="O8"/>
      <c r="P8"/>
      <c r="Q8"/>
    </row>
    <row r="9" spans="2:17" ht="34.15" customHeight="1">
      <c r="B9" s="66"/>
      <c r="C9" s="66"/>
      <c r="D9" s="66"/>
      <c r="E9" s="66"/>
      <c r="F9" s="66"/>
      <c r="G9" s="66"/>
      <c r="H9" s="66"/>
      <c r="I9" s="66"/>
      <c r="J9" s="87" t="b">
        <f>K7='Cálculo PEL 70-30 (11 min)'!B19</f>
        <v>1</v>
      </c>
      <c r="K9" s="28">
        <f>J5-K7</f>
        <v>7.2000000000000028</v>
      </c>
      <c r="L9"/>
      <c r="M9"/>
      <c r="N9"/>
      <c r="O9"/>
      <c r="P9"/>
      <c r="Q9"/>
    </row>
    <row r="10" spans="2:17" ht="43.15" customHeight="1">
      <c r="B10" s="14" t="s">
        <v>12</v>
      </c>
      <c r="C10" s="13" t="s">
        <v>13</v>
      </c>
      <c r="D10" s="13" t="s">
        <v>14</v>
      </c>
      <c r="E10" s="13" t="s">
        <v>15</v>
      </c>
      <c r="F10" s="66"/>
      <c r="G10" s="66"/>
      <c r="H10" s="66"/>
      <c r="I10" s="95" t="s">
        <v>16</v>
      </c>
      <c r="J10" s="95"/>
      <c r="K10" s="95"/>
      <c r="L10" s="66"/>
      <c r="M10"/>
      <c r="N10"/>
      <c r="O10"/>
      <c r="P10"/>
      <c r="Q10"/>
    </row>
    <row r="11" spans="2:17" ht="19.899999999999999" customHeight="1" thickBot="1">
      <c r="B11" s="6" t="s">
        <v>17</v>
      </c>
      <c r="C11" s="88">
        <f>K12</f>
        <v>4.040867592748814</v>
      </c>
      <c r="D11" s="31">
        <f>IF(C11&gt;=$D$8,(C11*100)/SUMIF($C$11:$C$25,CONCATENATE("&gt;=",$D$8)),0)</f>
        <v>4.040867592748814</v>
      </c>
      <c r="E11" s="83">
        <f>'Cálculo PEL 70-30 (11 min)'!H4</f>
        <v>17</v>
      </c>
      <c r="F11" s="66"/>
      <c r="G11" s="66"/>
      <c r="H11" s="66"/>
      <c r="I11" s="14" t="s">
        <v>18</v>
      </c>
      <c r="J11" s="14" t="s">
        <v>19</v>
      </c>
      <c r="K11" s="14" t="s">
        <v>20</v>
      </c>
      <c r="L11" s="66"/>
      <c r="M11"/>
      <c r="N11"/>
      <c r="O11"/>
      <c r="P11"/>
      <c r="Q11"/>
    </row>
    <row r="12" spans="2:17" ht="19.899999999999999" customHeight="1" thickBot="1">
      <c r="B12" s="6" t="s">
        <v>21</v>
      </c>
      <c r="C12" s="88">
        <f t="shared" ref="C12:C25" si="0">K13</f>
        <v>28.036068462591157</v>
      </c>
      <c r="D12" s="31">
        <f t="shared" ref="D12:D25" si="1">IF(C12&gt;=$D$8,(C12*100)/SUMIF($C$11:$C$25,CONCATENATE("&gt;=",$D$8)),0)</f>
        <v>28.036068462591157</v>
      </c>
      <c r="E12" s="83">
        <f>'Cálculo PEL 70-30 (11 min)'!H5</f>
        <v>80</v>
      </c>
      <c r="F12" s="66"/>
      <c r="G12" s="67"/>
      <c r="H12" s="89"/>
      <c r="I12" s="41" t="s">
        <v>22</v>
      </c>
      <c r="J12" s="42">
        <v>53888</v>
      </c>
      <c r="K12" s="90">
        <f>J12*100/$J$27</f>
        <v>4.040867592748814</v>
      </c>
      <c r="L12" s="66"/>
      <c r="M12"/>
      <c r="N12"/>
      <c r="O12"/>
      <c r="P12"/>
      <c r="Q12"/>
    </row>
    <row r="13" spans="2:17" ht="19.899999999999999" customHeight="1" thickBot="1">
      <c r="B13" s="6" t="s">
        <v>23</v>
      </c>
      <c r="C13" s="88">
        <f t="shared" si="0"/>
        <v>14.443057195883247</v>
      </c>
      <c r="D13" s="31">
        <f t="shared" si="1"/>
        <v>14.443057195883249</v>
      </c>
      <c r="E13" s="83">
        <f>'Cálculo PEL 70-30 (11 min)'!H6</f>
        <v>44</v>
      </c>
      <c r="F13" s="66"/>
      <c r="G13" s="67"/>
      <c r="H13" s="89"/>
      <c r="I13" s="41" t="s">
        <v>24</v>
      </c>
      <c r="J13" s="42">
        <v>373882</v>
      </c>
      <c r="K13" s="90">
        <f t="shared" ref="K13:K26" si="2">J13*100/$J$27</f>
        <v>28.036068462591157</v>
      </c>
      <c r="L13" s="66"/>
      <c r="M13"/>
      <c r="N13"/>
      <c r="O13"/>
      <c r="P13"/>
      <c r="Q13"/>
    </row>
    <row r="14" spans="2:17" ht="19.899999999999999" customHeight="1" thickBot="1">
      <c r="B14" s="6" t="s">
        <v>25</v>
      </c>
      <c r="C14" s="88">
        <f t="shared" si="0"/>
        <v>4.7200194964662652</v>
      </c>
      <c r="D14" s="31">
        <f t="shared" si="1"/>
        <v>4.7200194964662652</v>
      </c>
      <c r="E14" s="83">
        <f>'Cálculo PEL 70-30 (11 min)'!H7</f>
        <v>19</v>
      </c>
      <c r="F14" s="66"/>
      <c r="G14" s="67"/>
      <c r="H14" s="89"/>
      <c r="I14" s="41" t="s">
        <v>26</v>
      </c>
      <c r="J14" s="42">
        <v>192609</v>
      </c>
      <c r="K14" s="90">
        <f t="shared" si="2"/>
        <v>14.443057195883247</v>
      </c>
      <c r="L14" s="66"/>
      <c r="M14"/>
      <c r="N14"/>
      <c r="O14"/>
      <c r="P14"/>
      <c r="Q14"/>
    </row>
    <row r="15" spans="2:17" ht="19.899999999999999" customHeight="1" thickBot="1">
      <c r="B15" s="6" t="s">
        <v>27</v>
      </c>
      <c r="C15" s="88">
        <f t="shared" si="0"/>
        <v>4.323041448737416</v>
      </c>
      <c r="D15" s="31">
        <f t="shared" si="1"/>
        <v>4.323041448737416</v>
      </c>
      <c r="E15" s="83">
        <f>'Cálculo PEL 70-30 (11 min)'!H8</f>
        <v>18</v>
      </c>
      <c r="F15" s="66"/>
      <c r="G15" s="67"/>
      <c r="H15" s="89"/>
      <c r="I15" s="41" t="s">
        <v>28</v>
      </c>
      <c r="J15" s="42">
        <v>62945</v>
      </c>
      <c r="K15" s="90">
        <f t="shared" si="2"/>
        <v>4.7200194964662652</v>
      </c>
      <c r="L15" s="66"/>
      <c r="M15"/>
      <c r="N15"/>
      <c r="O15"/>
      <c r="P15"/>
      <c r="Q15"/>
    </row>
    <row r="16" spans="2:17" ht="19.899999999999999" customHeight="1" thickBot="1">
      <c r="B16" s="6" t="s">
        <v>29</v>
      </c>
      <c r="C16" s="88">
        <f t="shared" si="0"/>
        <v>3.0871154603228166</v>
      </c>
      <c r="D16" s="31">
        <f t="shared" si="1"/>
        <v>3.0871154603228166</v>
      </c>
      <c r="E16" s="83">
        <f>'Cálculo PEL 70-30 (11 min)'!H9</f>
        <v>15</v>
      </c>
      <c r="F16" s="66"/>
      <c r="G16" s="67"/>
      <c r="H16" s="89"/>
      <c r="I16" s="41" t="s">
        <v>30</v>
      </c>
      <c r="J16" s="42">
        <v>57651</v>
      </c>
      <c r="K16" s="90">
        <f t="shared" si="2"/>
        <v>4.323041448737416</v>
      </c>
      <c r="L16" s="66"/>
      <c r="M16"/>
      <c r="N16"/>
      <c r="O16"/>
      <c r="P16"/>
      <c r="Q16"/>
    </row>
    <row r="17" spans="2:17" ht="19.899999999999999" customHeight="1" thickBot="1">
      <c r="B17" s="6" t="s">
        <v>31</v>
      </c>
      <c r="C17" s="88">
        <f t="shared" si="0"/>
        <v>41.349830343250289</v>
      </c>
      <c r="D17" s="31">
        <f t="shared" si="1"/>
        <v>41.349830343250289</v>
      </c>
      <c r="E17" s="83">
        <f>'Cálculo PEL 70-30 (11 min)'!H10</f>
        <v>115</v>
      </c>
      <c r="F17" s="66"/>
      <c r="G17" s="67"/>
      <c r="H17" s="89"/>
      <c r="I17" s="41" t="s">
        <v>32</v>
      </c>
      <c r="J17" s="42">
        <v>41169</v>
      </c>
      <c r="K17" s="90">
        <f t="shared" si="2"/>
        <v>3.0871154603228166</v>
      </c>
      <c r="L17" s="66"/>
      <c r="M17"/>
      <c r="N17"/>
      <c r="O17"/>
      <c r="P17"/>
      <c r="Q17"/>
    </row>
    <row r="18" spans="2:17" ht="19.899999999999999" customHeight="1" thickBot="1">
      <c r="B18" s="29" t="s">
        <v>33</v>
      </c>
      <c r="C18" s="88">
        <f t="shared" si="0"/>
        <v>0</v>
      </c>
      <c r="D18" s="31">
        <f t="shared" si="1"/>
        <v>0</v>
      </c>
      <c r="E18" s="83">
        <f>'Cálculo PEL 70-30 (11 min)'!H11</f>
        <v>7</v>
      </c>
      <c r="F18" s="66"/>
      <c r="G18" s="66"/>
      <c r="H18" s="66"/>
      <c r="I18" s="41" t="s">
        <v>34</v>
      </c>
      <c r="J18" s="42">
        <v>551431</v>
      </c>
      <c r="K18" s="90">
        <f t="shared" si="2"/>
        <v>41.349830343250289</v>
      </c>
      <c r="L18" s="66"/>
      <c r="M18"/>
      <c r="N18"/>
      <c r="O18"/>
      <c r="P18"/>
      <c r="Q18"/>
    </row>
    <row r="19" spans="2:17" ht="19.899999999999999" customHeight="1" thickBot="1">
      <c r="B19" s="21" t="s">
        <v>35</v>
      </c>
      <c r="C19" s="88">
        <f t="shared" si="0"/>
        <v>0</v>
      </c>
      <c r="D19" s="31">
        <f t="shared" si="1"/>
        <v>0</v>
      </c>
      <c r="E19" s="83">
        <f>'Cálculo PEL 70-30 (11 min)'!H12</f>
        <v>7</v>
      </c>
      <c r="F19" s="66"/>
      <c r="G19" s="66"/>
      <c r="H19" s="66"/>
      <c r="I19" s="43" t="s">
        <v>36</v>
      </c>
      <c r="J19" s="42">
        <v>0</v>
      </c>
      <c r="K19" s="90">
        <f t="shared" si="2"/>
        <v>0</v>
      </c>
      <c r="L19" s="66"/>
      <c r="M19"/>
      <c r="N19"/>
      <c r="O19"/>
      <c r="P19"/>
      <c r="Q19"/>
    </row>
    <row r="20" spans="2:17" ht="19.899999999999999" customHeight="1" thickBot="1">
      <c r="B20" s="46" t="s">
        <v>37</v>
      </c>
      <c r="C20" s="88">
        <f t="shared" si="0"/>
        <v>0</v>
      </c>
      <c r="D20" s="31">
        <f t="shared" si="1"/>
        <v>0</v>
      </c>
      <c r="E20" s="83">
        <f>'Cálculo PEL 70-30 (11 min)'!H13</f>
        <v>7</v>
      </c>
      <c r="F20" s="66"/>
      <c r="G20" s="66"/>
      <c r="H20" s="66"/>
      <c r="I20" s="43" t="s">
        <v>38</v>
      </c>
      <c r="J20" s="42">
        <v>0</v>
      </c>
      <c r="K20" s="90">
        <f t="shared" si="2"/>
        <v>0</v>
      </c>
      <c r="L20" s="66"/>
      <c r="M20"/>
      <c r="N20"/>
      <c r="O20"/>
      <c r="P20"/>
      <c r="Q20"/>
    </row>
    <row r="21" spans="2:17" ht="19.899999999999999" customHeight="1" thickBot="1">
      <c r="B21" s="46" t="s">
        <v>39</v>
      </c>
      <c r="C21" s="88">
        <f t="shared" si="0"/>
        <v>0</v>
      </c>
      <c r="D21" s="31">
        <f t="shared" si="1"/>
        <v>0</v>
      </c>
      <c r="E21" s="83">
        <f>'Cálculo PEL 70-30 (11 min)'!H14</f>
        <v>7</v>
      </c>
      <c r="F21" s="66"/>
      <c r="G21" s="66"/>
      <c r="H21" s="66"/>
      <c r="I21" s="43" t="s">
        <v>40</v>
      </c>
      <c r="J21" s="42">
        <v>0</v>
      </c>
      <c r="K21" s="90">
        <f t="shared" si="2"/>
        <v>0</v>
      </c>
      <c r="L21" s="66"/>
      <c r="M21"/>
      <c r="N21"/>
      <c r="O21"/>
      <c r="P21"/>
      <c r="Q21"/>
    </row>
    <row r="22" spans="2:17" ht="19.899999999999999" customHeight="1" thickBot="1">
      <c r="B22" s="46" t="s">
        <v>41</v>
      </c>
      <c r="C22" s="88">
        <f t="shared" si="0"/>
        <v>0</v>
      </c>
      <c r="D22" s="31">
        <f t="shared" si="1"/>
        <v>0</v>
      </c>
      <c r="E22" s="83">
        <f>'Cálculo PEL 70-30 (11 min)'!H15</f>
        <v>7</v>
      </c>
      <c r="F22" s="66"/>
      <c r="G22" s="66"/>
      <c r="H22" s="66"/>
      <c r="I22" s="43" t="s">
        <v>42</v>
      </c>
      <c r="J22" s="42">
        <v>0</v>
      </c>
      <c r="K22" s="90">
        <f t="shared" si="2"/>
        <v>0</v>
      </c>
      <c r="L22" s="66"/>
      <c r="M22"/>
      <c r="N22"/>
      <c r="O22"/>
      <c r="P22"/>
      <c r="Q22"/>
    </row>
    <row r="23" spans="2:17" ht="19.899999999999999" customHeight="1" thickBot="1">
      <c r="B23" s="46" t="s">
        <v>43</v>
      </c>
      <c r="C23" s="88">
        <f t="shared" si="0"/>
        <v>0</v>
      </c>
      <c r="D23" s="31">
        <f t="shared" si="1"/>
        <v>0</v>
      </c>
      <c r="E23" s="83">
        <f>'Cálculo PEL 70-30 (11 min)'!H16</f>
        <v>7</v>
      </c>
      <c r="F23" s="66"/>
      <c r="G23" s="66"/>
      <c r="H23" s="66"/>
      <c r="I23" s="43" t="s">
        <v>44</v>
      </c>
      <c r="J23" s="42">
        <v>0</v>
      </c>
      <c r="K23" s="90">
        <f t="shared" si="2"/>
        <v>0</v>
      </c>
      <c r="L23" s="66"/>
      <c r="M23"/>
      <c r="N23"/>
      <c r="O23"/>
      <c r="P23"/>
      <c r="Q23"/>
    </row>
    <row r="24" spans="2:17" ht="15" thickBot="1">
      <c r="B24" s="46" t="s">
        <v>45</v>
      </c>
      <c r="C24" s="88">
        <f t="shared" si="0"/>
        <v>0</v>
      </c>
      <c r="D24" s="31">
        <f t="shared" si="1"/>
        <v>0</v>
      </c>
      <c r="E24" s="83">
        <f>'Cálculo PEL 70-30 (11 min)'!H17</f>
        <v>7</v>
      </c>
      <c r="F24" s="66"/>
      <c r="G24" s="66"/>
      <c r="H24" s="66"/>
      <c r="I24" s="43" t="s">
        <v>46</v>
      </c>
      <c r="J24" s="42">
        <v>0</v>
      </c>
      <c r="K24" s="90">
        <f t="shared" si="2"/>
        <v>0</v>
      </c>
      <c r="L24" s="66"/>
      <c r="M24"/>
      <c r="N24"/>
      <c r="O24"/>
      <c r="P24"/>
      <c r="Q24"/>
    </row>
    <row r="25" spans="2:17" ht="15" thickBot="1">
      <c r="B25" s="46" t="s">
        <v>47</v>
      </c>
      <c r="C25" s="88">
        <f t="shared" si="0"/>
        <v>0</v>
      </c>
      <c r="D25" s="31">
        <f t="shared" si="1"/>
        <v>0</v>
      </c>
      <c r="E25" s="83">
        <f>'Cálculo PEL 70-30 (11 min)'!H18</f>
        <v>7</v>
      </c>
      <c r="F25" s="66"/>
      <c r="G25" s="15"/>
      <c r="H25" s="66"/>
      <c r="I25" s="43" t="s">
        <v>48</v>
      </c>
      <c r="J25" s="42">
        <v>0</v>
      </c>
      <c r="K25" s="90">
        <f t="shared" si="2"/>
        <v>0</v>
      </c>
      <c r="L25" s="66"/>
      <c r="M25"/>
      <c r="N25"/>
      <c r="O25"/>
      <c r="P25"/>
      <c r="Q25"/>
    </row>
    <row r="26" spans="2:17" ht="15" thickBot="1">
      <c r="B26" s="8" t="s">
        <v>49</v>
      </c>
      <c r="C26" s="32">
        <f>SUM(C11:C25)</f>
        <v>100</v>
      </c>
      <c r="D26" s="32">
        <f>SUM(D11:D25)</f>
        <v>100</v>
      </c>
      <c r="E26" s="14">
        <f>SUM(E11:E25)</f>
        <v>364</v>
      </c>
      <c r="F26" s="66"/>
      <c r="G26" s="91"/>
      <c r="H26" s="66"/>
      <c r="I26" s="43" t="s">
        <v>50</v>
      </c>
      <c r="J26" s="42">
        <v>0</v>
      </c>
      <c r="K26" s="90">
        <f t="shared" si="2"/>
        <v>0</v>
      </c>
      <c r="L26" s="66"/>
      <c r="M26"/>
      <c r="N26"/>
      <c r="O26"/>
      <c r="P26"/>
      <c r="Q26"/>
    </row>
    <row r="27" spans="2:17" ht="15" thickBot="1">
      <c r="B27" s="92" t="s">
        <v>51</v>
      </c>
      <c r="C27" s="93"/>
      <c r="D27" s="94"/>
      <c r="E27" s="11">
        <f>G6-E26</f>
        <v>10</v>
      </c>
      <c r="F27" s="66"/>
      <c r="G27" s="91"/>
      <c r="H27" s="66"/>
      <c r="I27" s="44" t="s">
        <v>52</v>
      </c>
      <c r="J27" s="45">
        <f>SUM(J12:J26)</f>
        <v>1333575</v>
      </c>
      <c r="K27" s="30">
        <f>SUM(K12:K20)</f>
        <v>100</v>
      </c>
      <c r="L27" s="66"/>
      <c r="M27"/>
      <c r="N27"/>
      <c r="O27"/>
      <c r="P27"/>
      <c r="Q27"/>
    </row>
    <row r="28" spans="2:17">
      <c r="B28" s="66"/>
      <c r="C28" s="66"/>
      <c r="D28" s="66"/>
      <c r="E28" s="66"/>
      <c r="F28" s="66"/>
      <c r="G28" s="91"/>
      <c r="H28" s="66"/>
      <c r="I28" s="66"/>
      <c r="J28" s="66"/>
      <c r="K28" s="66"/>
      <c r="L28" s="66"/>
      <c r="M28" s="66"/>
      <c r="N28" s="66"/>
      <c r="O28" s="66"/>
      <c r="P28" s="66"/>
      <c r="Q28" s="66"/>
    </row>
    <row r="29" spans="2:17">
      <c r="B29" s="66"/>
      <c r="C29" s="66"/>
      <c r="D29" s="66"/>
      <c r="E29" s="66"/>
      <c r="F29" s="1"/>
      <c r="G29" s="91"/>
      <c r="H29" s="66"/>
      <c r="I29" s="66"/>
      <c r="J29" s="66"/>
      <c r="K29" s="66"/>
      <c r="L29" s="66"/>
      <c r="M29" s="66"/>
      <c r="N29" s="66"/>
      <c r="O29" s="66"/>
      <c r="P29" s="66"/>
      <c r="Q29" s="66"/>
    </row>
    <row r="30" spans="2:17">
      <c r="B30" s="66"/>
      <c r="C30" s="66"/>
      <c r="D30" s="66"/>
      <c r="E30" s="66"/>
      <c r="F30" s="1"/>
      <c r="G30" s="91"/>
      <c r="H30" s="66"/>
      <c r="I30" s="66"/>
      <c r="J30" s="66"/>
      <c r="K30" s="66"/>
      <c r="L30" s="66"/>
      <c r="M30" s="66"/>
      <c r="N30" s="66"/>
      <c r="O30" s="66"/>
      <c r="P30" s="66"/>
      <c r="Q30" s="66"/>
    </row>
    <row r="31" spans="2:17">
      <c r="B31" s="66"/>
      <c r="C31" s="66"/>
      <c r="D31" s="66"/>
      <c r="E31" s="66"/>
      <c r="F31" s="1"/>
      <c r="G31" s="15"/>
      <c r="H31" s="66"/>
      <c r="I31" s="66"/>
      <c r="J31" s="66"/>
      <c r="K31" s="66"/>
      <c r="L31" s="66"/>
      <c r="M31" s="66"/>
      <c r="N31" s="66"/>
      <c r="O31" s="66"/>
      <c r="P31" s="66"/>
      <c r="Q31" s="66"/>
    </row>
  </sheetData>
  <dataConsolidate/>
  <mergeCells count="8">
    <mergeCell ref="B27:D27"/>
    <mergeCell ref="I10:K10"/>
    <mergeCell ref="E2:G2"/>
    <mergeCell ref="B4:C5"/>
    <mergeCell ref="D4:G4"/>
    <mergeCell ref="B6:C6"/>
    <mergeCell ref="B8:C8"/>
    <mergeCell ref="I4:K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2"/>
  <sheetViews>
    <sheetView view="pageBreakPreview" topLeftCell="A5" zoomScale="66" zoomScaleNormal="80" zoomScaleSheetLayoutView="66" workbookViewId="0">
      <selection activeCell="A4" sqref="A4"/>
    </sheetView>
  </sheetViews>
  <sheetFormatPr defaultColWidth="11.42578125" defaultRowHeight="13.9"/>
  <cols>
    <col min="1" max="1" width="40.7109375" style="3" customWidth="1"/>
    <col min="2" max="8" width="25.7109375" style="3" customWidth="1"/>
    <col min="9" max="9" width="8.28515625" style="3" customWidth="1"/>
    <col min="10" max="16384" width="11.42578125" style="3"/>
  </cols>
  <sheetData>
    <row r="1" spans="1:8" ht="40.15" customHeight="1">
      <c r="A1" s="104" t="str">
        <f>CONCATENATE("CÁLCULO DE DISTRIBUCIÓN DE PROMOCIONALES DE PRECAMPAÑA PARA EL ",'Premisas PEL (11 min)'!D4," ",
"EN EL ESTADO DE ",'Premisas PEL (11 min)'!C2)</f>
        <v>CÁLCULO DE DISTRIBUCIÓN DE PROMOCIONALES DE PRECAMPAÑA PARA EL PROCESO ELECTORAL LOCAL 2023-2024 EN EL ESTADO DE GUERRERO</v>
      </c>
      <c r="B1" s="104"/>
      <c r="C1" s="104"/>
      <c r="D1" s="104"/>
      <c r="E1" s="104"/>
      <c r="F1" s="104"/>
      <c r="G1" s="104"/>
      <c r="H1" s="104"/>
    </row>
    <row r="2" spans="1:8" ht="40.15" customHeight="1">
      <c r="A2" s="105" t="s">
        <v>53</v>
      </c>
      <c r="B2" s="107" t="str">
        <f>CONCATENATE("DURACIÓN: ",'Premisas PEL (11 min)'!D6," DÍAS
TOTAL DE PROMOCIONALES DE 30 SEGUNDOS EN CADA ESTACIÓN DE RADIO O CANAL DE TELEVISIÓN:  ", ('Premisas PEL (11 min)'!G6), " PROMOCIONALES")</f>
        <v>DURACIÓN: 17 DÍAS
TOTAL DE PROMOCIONALES DE 30 SEGUNDOS EN CADA ESTACIÓN DE RADIO O CANAL DE TELEVISIÓN:  374 PROMOCIONALES</v>
      </c>
      <c r="C2" s="107"/>
      <c r="D2" s="107"/>
      <c r="E2" s="107"/>
      <c r="F2" s="107"/>
      <c r="G2" s="106" t="s">
        <v>54</v>
      </c>
      <c r="H2" s="106" t="s">
        <v>55</v>
      </c>
    </row>
    <row r="3" spans="1:8" ht="120" customHeight="1">
      <c r="A3" s="106"/>
      <c r="B3" s="5" t="str">
        <f>CONCATENATE(('Premisas PEL (11 min)'!G6)*0.3," promocionales (30%)
 se distribuyen de manera igualitaria entre el número de partidos contendientes
(A)")</f>
        <v>112,2 promocionales (30%)
 se distribuyen de manera igualitaria entre el número de partidos contendientes
(A)</v>
      </c>
      <c r="C3" s="5" t="s">
        <v>56</v>
      </c>
      <c r="D3" s="5" t="s">
        <v>57</v>
      </c>
      <c r="E3" s="5" t="str">
        <f>CONCATENATE(('Premisas PEL (11 min)'!G6)*0.7," promocionales 
(70% Distribución Proporcional)
% Fuerza Electoral de los partidos 
(C) ")</f>
        <v xml:space="preserve">261.8 promocionales 
(70% Distribución Proporcional)
% Fuerza Electoral de los partidos 
(C) </v>
      </c>
      <c r="F3" s="5" t="s">
        <v>58</v>
      </c>
      <c r="G3" s="104"/>
      <c r="H3" s="104"/>
    </row>
    <row r="4" spans="1:8" ht="40.15" customHeight="1">
      <c r="A4" s="82" t="s">
        <v>22</v>
      </c>
      <c r="B4" s="6">
        <f>TRUNC(TRUNC(('Premisas PEL (11 min)'!$G$6)*0.3)/COUNTA($A$4:$A$18))</f>
        <v>7</v>
      </c>
      <c r="C4" s="7">
        <f>(('Premisas PEL (11 min)'!$G$6)*0.3)/COUNTA($A$4:$A$18) - TRUNC(TRUNC(('Premisas PEL (11 min)'!$G$6)*0.3)/COUNTA($A$4:$A$18))</f>
        <v>0.48000000000000043</v>
      </c>
      <c r="D4" s="7">
        <f>'Premisas PEL (11 min)'!D11</f>
        <v>4.040867592748814</v>
      </c>
      <c r="E4" s="6">
        <f>TRUNC((D4*(('Premisas PEL (11 min)'!$G$6)*0.7))/100,0)</f>
        <v>10</v>
      </c>
      <c r="F4" s="7">
        <f>(((D4*(('Premisas PEL (11 min)'!$G$6)*0.7))/100) - TRUNC((D4*(('Premisas PEL (11 min)'!$G$6)*0.7))/100))</f>
        <v>0.57899135781639721</v>
      </c>
      <c r="G4" s="6">
        <f>SUM(B4,E4)</f>
        <v>17</v>
      </c>
      <c r="H4" s="6">
        <f>IF((ROUND($C$19,0)+ROUND($F$19,0)+('Premisas PEL (11 min)'!$G$6-(TRUNC('Premisas PEL (11 min)'!$G$6*0.3)+TRUNC('Premisas PEL (11 min)'!$G$6*0.7))))&gt;=COUNTA($A$4:$A$10),G4,G4)</f>
        <v>17</v>
      </c>
    </row>
    <row r="5" spans="1:8" ht="40.15" customHeight="1">
      <c r="A5" s="82" t="s">
        <v>24</v>
      </c>
      <c r="B5" s="6">
        <f>TRUNC(TRUNC(('Premisas PEL (11 min)'!$G$6)*0.3)/COUNTA($A$4:$A$18))</f>
        <v>7</v>
      </c>
      <c r="C5" s="7">
        <f>(('Premisas PEL (11 min)'!$G$6)*0.3)/COUNTA($A$4:$A$18) - TRUNC(TRUNC(('Premisas PEL (11 min)'!$G$6)*0.3)/COUNTA($A$4:$A$18))</f>
        <v>0.48000000000000043</v>
      </c>
      <c r="D5" s="7">
        <f>'Premisas PEL (11 min)'!D12</f>
        <v>28.036068462591157</v>
      </c>
      <c r="E5" s="6">
        <f>TRUNC((D5*(('Premisas PEL (11 min)'!$G$6)*0.7))/100,0)</f>
        <v>73</v>
      </c>
      <c r="F5" s="7">
        <f>(((D5*(('Premisas PEL (11 min)'!$G$6)*0.7))/100) - TRUNC((D5*(('Premisas PEL (11 min)'!$G$6)*0.7))/100))</f>
        <v>0.39842723506365019</v>
      </c>
      <c r="G5" s="6">
        <f t="shared" ref="G5:G18" si="0">SUM(B5,E5)</f>
        <v>80</v>
      </c>
      <c r="H5" s="6">
        <f>IF((ROUND($C$19,0)+ROUND($F$19,0)+('Premisas PEL (11 min)'!$G$6-(TRUNC('Premisas PEL (11 min)'!$G$6*0.3)+TRUNC('Premisas PEL (11 min)'!$G$6*0.7))))&gt;=COUNTA($A$4:$A$10),G5,G5)</f>
        <v>80</v>
      </c>
    </row>
    <row r="6" spans="1:8" ht="40.15" customHeight="1">
      <c r="A6" s="82" t="s">
        <v>26</v>
      </c>
      <c r="B6" s="6">
        <f>TRUNC(TRUNC(('Premisas PEL (11 min)'!$G$6)*0.3)/COUNTA($A$4:$A$18))</f>
        <v>7</v>
      </c>
      <c r="C6" s="7">
        <f>(('Premisas PEL (11 min)'!$G$6)*0.3)/COUNTA($A$4:$A$18) - TRUNC(TRUNC(('Premisas PEL (11 min)'!$G$6)*0.3)/COUNTA($A$4:$A$18))</f>
        <v>0.48000000000000043</v>
      </c>
      <c r="D6" s="7">
        <f>'Premisas PEL (11 min)'!D13</f>
        <v>14.443057195883249</v>
      </c>
      <c r="E6" s="6">
        <f>TRUNC((D6*(('Premisas PEL (11 min)'!$G$6)*0.7))/100,0)</f>
        <v>37</v>
      </c>
      <c r="F6" s="7">
        <f>(((D6*(('Premisas PEL (11 min)'!$G$6)*0.7))/100) - TRUNC((D6*(('Premisas PEL (11 min)'!$G$6)*0.7))/100))</f>
        <v>0.81192373882234392</v>
      </c>
      <c r="G6" s="6">
        <f t="shared" si="0"/>
        <v>44</v>
      </c>
      <c r="H6" s="6">
        <f>IF((ROUND($C$19,0)+ROUND($F$19,0)+('Premisas PEL (11 min)'!$G$6-(TRUNC('Premisas PEL (11 min)'!$G$6*0.3)+TRUNC('Premisas PEL (11 min)'!$G$6*0.7))))&gt;=COUNTA($A$4:$A$10),G6,G6)</f>
        <v>44</v>
      </c>
    </row>
    <row r="7" spans="1:8" ht="40.15" customHeight="1">
      <c r="A7" s="82" t="s">
        <v>28</v>
      </c>
      <c r="B7" s="6">
        <f>TRUNC(TRUNC(('Premisas PEL (11 min)'!$G$6)*0.3)/COUNTA($A$4:$A$18))</f>
        <v>7</v>
      </c>
      <c r="C7" s="7">
        <f>(('Premisas PEL (11 min)'!$G$6)*0.3)/COUNTA($A$4:$A$18) - TRUNC(TRUNC(('Premisas PEL (11 min)'!$G$6)*0.3)/COUNTA($A$4:$A$18))</f>
        <v>0.48000000000000043</v>
      </c>
      <c r="D7" s="7">
        <f>'Premisas PEL (11 min)'!D14</f>
        <v>4.7200194964662652</v>
      </c>
      <c r="E7" s="6">
        <f>TRUNC((D7*(('Premisas PEL (11 min)'!$G$6)*0.7))/100,0)</f>
        <v>12</v>
      </c>
      <c r="F7" s="7">
        <f>(((D7*(('Premisas PEL (11 min)'!$G$6)*0.7))/100) - TRUNC((D7*(('Premisas PEL (11 min)'!$G$6)*0.7))/100))</f>
        <v>0.3570110417486827</v>
      </c>
      <c r="G7" s="6">
        <f t="shared" si="0"/>
        <v>19</v>
      </c>
      <c r="H7" s="6">
        <f>IF((ROUND($C$19,0)+ROUND($F$19,0)+('Premisas PEL (11 min)'!$G$6-(TRUNC('Premisas PEL (11 min)'!$G$6*0.3)+TRUNC('Premisas PEL (11 min)'!$G$6*0.7))))&gt;=COUNTA($A$4:$A$10),G7,G7)</f>
        <v>19</v>
      </c>
    </row>
    <row r="8" spans="1:8" ht="40.15" customHeight="1">
      <c r="A8" s="82" t="s">
        <v>30</v>
      </c>
      <c r="B8" s="6">
        <f>TRUNC(TRUNC(('Premisas PEL (11 min)'!$G$6)*0.3)/COUNTA($A$4:$A$18))</f>
        <v>7</v>
      </c>
      <c r="C8" s="7">
        <f>(('Premisas PEL (11 min)'!$G$6)*0.3)/COUNTA($A$4:$A$18) - TRUNC(TRUNC(('Premisas PEL (11 min)'!$G$6)*0.3)/COUNTA($A$4:$A$18))</f>
        <v>0.48000000000000043</v>
      </c>
      <c r="D8" s="7">
        <f>'Premisas PEL (11 min)'!D15</f>
        <v>4.323041448737416</v>
      </c>
      <c r="E8" s="6">
        <f>TRUNC((D8*(('Premisas PEL (11 min)'!$G$6)*0.7))/100,0)</f>
        <v>11</v>
      </c>
      <c r="F8" s="7">
        <f>(((D8*(('Premisas PEL (11 min)'!$G$6)*0.7))/100) - TRUNC((D8*(('Premisas PEL (11 min)'!$G$6)*0.7))/100))</f>
        <v>0.3177225127945551</v>
      </c>
      <c r="G8" s="6">
        <f t="shared" si="0"/>
        <v>18</v>
      </c>
      <c r="H8" s="6">
        <f>IF((ROUND($C$19,0)+ROUND($F$19,0)+('Premisas PEL (11 min)'!$G$6-(TRUNC('Premisas PEL (11 min)'!$G$6*0.3)+TRUNC('Premisas PEL (11 min)'!$G$6*0.7))))&gt;=COUNTA($A$4:$A$10),G8,G8)</f>
        <v>18</v>
      </c>
    </row>
    <row r="9" spans="1:8" ht="40.15" customHeight="1">
      <c r="A9" s="82" t="s">
        <v>32</v>
      </c>
      <c r="B9" s="6">
        <f>TRUNC(TRUNC(('Premisas PEL (11 min)'!$G$6)*0.3)/COUNTA($A$4:$A$18))</f>
        <v>7</v>
      </c>
      <c r="C9" s="7">
        <f>(('Premisas PEL (11 min)'!$G$6)*0.3)/COUNTA($A$4:$A$18) - TRUNC(TRUNC(('Premisas PEL (11 min)'!$G$6)*0.3)/COUNTA($A$4:$A$18))</f>
        <v>0.48000000000000043</v>
      </c>
      <c r="D9" s="7">
        <f>'Premisas PEL (11 min)'!D16</f>
        <v>3.0871154603228166</v>
      </c>
      <c r="E9" s="6">
        <f>TRUNC((D9*(('Premisas PEL (11 min)'!$G$6)*0.7))/100,0)</f>
        <v>8</v>
      </c>
      <c r="F9" s="7">
        <f>(((D9*(('Premisas PEL (11 min)'!$G$6)*0.7))/100) - TRUNC((D9*(('Premisas PEL (11 min)'!$G$6)*0.7))/100))</f>
        <v>8.2068275125134704E-2</v>
      </c>
      <c r="G9" s="6">
        <f t="shared" si="0"/>
        <v>15</v>
      </c>
      <c r="H9" s="6">
        <f>IF((ROUND($C$19,0)+ROUND($F$19,0)+('Premisas PEL (11 min)'!$G$6-(TRUNC('Premisas PEL (11 min)'!$G$6*0.3)+TRUNC('Premisas PEL (11 min)'!$G$6*0.7))))&gt;=COUNTA($A$4:$A$10),G9,G9)</f>
        <v>15</v>
      </c>
    </row>
    <row r="10" spans="1:8" ht="40.15" customHeight="1">
      <c r="A10" s="82" t="s">
        <v>59</v>
      </c>
      <c r="B10" s="6">
        <f>TRUNC(TRUNC(('Premisas PEL (11 min)'!$G$6)*0.3)/COUNTA($A$4:$A$18))</f>
        <v>7</v>
      </c>
      <c r="C10" s="7">
        <f>(('Premisas PEL (11 min)'!$G$6)*0.3)/COUNTA($A$4:$A$18) - TRUNC(TRUNC(('Premisas PEL (11 min)'!$G$6)*0.3)/COUNTA($A$4:$A$18))</f>
        <v>0.48000000000000043</v>
      </c>
      <c r="D10" s="7">
        <f>'Premisas PEL (11 min)'!D17</f>
        <v>41.349830343250289</v>
      </c>
      <c r="E10" s="6">
        <f>TRUNC((D10*(('Premisas PEL (11 min)'!$G$6)*0.7))/100,0)</f>
        <v>108</v>
      </c>
      <c r="F10" s="7">
        <f>(((D10*(('Premisas PEL (11 min)'!$G$6)*0.7))/100) - TRUNC((D10*(('Premisas PEL (11 min)'!$G$6)*0.7))/100))</f>
        <v>0.25385583862926353</v>
      </c>
      <c r="G10" s="6">
        <f t="shared" si="0"/>
        <v>115</v>
      </c>
      <c r="H10" s="6">
        <f>IF((ROUND($C$19,0)+ROUND($F$19,0)+('Premisas PEL (11 min)'!$G$6-(TRUNC('Premisas PEL (11 min)'!$G$6*0.3)+TRUNC('Premisas PEL (11 min)'!$G$6*0.7))))&gt;=COUNTA($A$4:$A$10),G10,G10)</f>
        <v>115</v>
      </c>
    </row>
    <row r="11" spans="1:8" ht="40.15" customHeight="1">
      <c r="A11" s="82" t="s">
        <v>36</v>
      </c>
      <c r="B11" s="6">
        <f>TRUNC(TRUNC(('Premisas PEL (11 min)'!$G$6)*0.3)/COUNTA($A$4:$A$18))</f>
        <v>7</v>
      </c>
      <c r="C11" s="7">
        <f>(('Premisas PEL (11 min)'!$G$6)*0.3)/COUNTA($A$4:$A$18) - TRUNC(TRUNC(('Premisas PEL (11 min)'!$G$6)*0.3)/COUNTA($A$4:$A$18))</f>
        <v>0.48000000000000043</v>
      </c>
      <c r="D11" s="7">
        <f>'Premisas PEL (11 min)'!D18</f>
        <v>0</v>
      </c>
      <c r="E11" s="6">
        <f>TRUNC((D11*(('Premisas PEL (11 min)'!$G$6)*0.7))/100,0)</f>
        <v>0</v>
      </c>
      <c r="F11" s="7">
        <f>(((D11*(('Premisas PEL (11 min)'!$G$6)*0.7))/100) - TRUNC((D11*(('Premisas PEL (11 min)'!$G$6)*0.7))/100))</f>
        <v>0</v>
      </c>
      <c r="G11" s="6">
        <f t="shared" si="0"/>
        <v>7</v>
      </c>
      <c r="H11" s="6">
        <f>IF((ROUND($C$19,0)+ROUND($F$19,0)+('Premisas PEL (11 min)'!$G$6-(TRUNC('Premisas PEL (11 min)'!$G$6*0.3)+TRUNC('Premisas PEL (11 min)'!$G$6*0.7))))&gt;=COUNTA($A$4:$A$10),G11,G11)</f>
        <v>7</v>
      </c>
    </row>
    <row r="12" spans="1:8" ht="40.15" customHeight="1">
      <c r="A12" s="82" t="s">
        <v>38</v>
      </c>
      <c r="B12" s="6">
        <f>TRUNC(TRUNC(('Premisas PEL (11 min)'!$G$6)*0.3)/COUNTA($A$4:$A$18))</f>
        <v>7</v>
      </c>
      <c r="C12" s="7">
        <f>(('Premisas PEL (11 min)'!$G$6)*0.3)/COUNTA($A$4:$A$18) - TRUNC(TRUNC(('Premisas PEL (11 min)'!$G$6)*0.3)/COUNTA($A$4:$A$18))</f>
        <v>0.48000000000000043</v>
      </c>
      <c r="D12" s="7">
        <f>'Premisas PEL (11 min)'!D19</f>
        <v>0</v>
      </c>
      <c r="E12" s="6">
        <f>TRUNC((D12*(('Premisas PEL (11 min)'!$G$6)*0.7))/100,0)</f>
        <v>0</v>
      </c>
      <c r="F12" s="7">
        <f>(((D12*(('Premisas PEL (11 min)'!$G$6)*0.7))/100) - TRUNC((D12*(('Premisas PEL (11 min)'!$G$6)*0.7))/100))</f>
        <v>0</v>
      </c>
      <c r="G12" s="6">
        <f t="shared" si="0"/>
        <v>7</v>
      </c>
      <c r="H12" s="6">
        <f>IF((ROUND($C$19,0)+ROUND($F$19,0)+('Premisas PEL (11 min)'!$G$6-(TRUNC('Premisas PEL (11 min)'!$G$6*0.3)+TRUNC('Premisas PEL (11 min)'!$G$6*0.7))))&gt;=COUNTA($A$4:$A$10),G12,G12)</f>
        <v>7</v>
      </c>
    </row>
    <row r="13" spans="1:8" ht="40.15" customHeight="1">
      <c r="A13" s="82" t="s">
        <v>40</v>
      </c>
      <c r="B13" s="6">
        <f>TRUNC(TRUNC(('Premisas PEL (11 min)'!$G$6)*0.3)/COUNTA($A$4:$A$18))</f>
        <v>7</v>
      </c>
      <c r="C13" s="7">
        <f>(('Premisas PEL (11 min)'!$G$6)*0.3)/COUNTA($A$4:$A$18) - TRUNC(TRUNC(('Premisas PEL (11 min)'!$G$6)*0.3)/COUNTA($A$4:$A$18))</f>
        <v>0.48000000000000043</v>
      </c>
      <c r="D13" s="7">
        <f>'Premisas PEL (11 min)'!D20</f>
        <v>0</v>
      </c>
      <c r="E13" s="6">
        <f>TRUNC((D13*(('Premisas PEL (11 min)'!$G$6)*0.7))/100,0)</f>
        <v>0</v>
      </c>
      <c r="F13" s="7">
        <f>(((D13*(('Premisas PEL (11 min)'!$G$6)*0.7))/100) - TRUNC((D13*(('Premisas PEL (11 min)'!$G$6)*0.7))/100))</f>
        <v>0</v>
      </c>
      <c r="G13" s="6">
        <f t="shared" si="0"/>
        <v>7</v>
      </c>
      <c r="H13" s="6">
        <f>IF((ROUND($C$19,0)+ROUND($F$19,0)+('Premisas PEL (11 min)'!$G$6-(TRUNC('Premisas PEL (11 min)'!$G$6*0.3)+TRUNC('Premisas PEL (11 min)'!$G$6*0.7))))&gt;=COUNTA($A$4:$A$10),G13,G13)</f>
        <v>7</v>
      </c>
    </row>
    <row r="14" spans="1:8" ht="40.15" customHeight="1">
      <c r="A14" s="82" t="s">
        <v>42</v>
      </c>
      <c r="B14" s="6">
        <f>TRUNC(TRUNC(('Premisas PEL (11 min)'!$G$6)*0.3)/COUNTA($A$4:$A$18))</f>
        <v>7</v>
      </c>
      <c r="C14" s="7">
        <f>(('Premisas PEL (11 min)'!$G$6)*0.3)/COUNTA($A$4:$A$18) - TRUNC(TRUNC(('Premisas PEL (11 min)'!$G$6)*0.3)/COUNTA($A$4:$A$18))</f>
        <v>0.48000000000000043</v>
      </c>
      <c r="D14" s="7">
        <f>'Premisas PEL (11 min)'!D21</f>
        <v>0</v>
      </c>
      <c r="E14" s="6">
        <f>TRUNC((D14*(('Premisas PEL (11 min)'!$G$6)*0.7))/100,0)</f>
        <v>0</v>
      </c>
      <c r="F14" s="7">
        <f>(((D14*(('Premisas PEL (11 min)'!$G$6)*0.7))/100) - TRUNC((D14*(('Premisas PEL (11 min)'!$G$6)*0.7))/100))</f>
        <v>0</v>
      </c>
      <c r="G14" s="6">
        <f t="shared" si="0"/>
        <v>7</v>
      </c>
      <c r="H14" s="6">
        <f>IF((ROUND($C$19,0)+ROUND($F$19,0)+('Premisas PEL (11 min)'!$G$6-(TRUNC('Premisas PEL (11 min)'!$G$6*0.3)+TRUNC('Premisas PEL (11 min)'!$G$6*0.7))))&gt;=COUNTA($A$4:$A$10),G14,G14)</f>
        <v>7</v>
      </c>
    </row>
    <row r="15" spans="1:8" ht="40.15" customHeight="1">
      <c r="A15" s="82" t="s">
        <v>44</v>
      </c>
      <c r="B15" s="6">
        <f>TRUNC(TRUNC(('Premisas PEL (11 min)'!$G$6)*0.3)/COUNTA($A$4:$A$18))</f>
        <v>7</v>
      </c>
      <c r="C15" s="7">
        <f>(('Premisas PEL (11 min)'!$G$6)*0.3)/COUNTA($A$4:$A$18) - TRUNC(TRUNC(('Premisas PEL (11 min)'!$G$6)*0.3)/COUNTA($A$4:$A$18))</f>
        <v>0.48000000000000043</v>
      </c>
      <c r="D15" s="7">
        <f>'Premisas PEL (11 min)'!D22</f>
        <v>0</v>
      </c>
      <c r="E15" s="6">
        <f>TRUNC((D15*(('Premisas PEL (11 min)'!$G$6)*0.7))/100,0)</f>
        <v>0</v>
      </c>
      <c r="F15" s="7">
        <f>(((D15*(('Premisas PEL (11 min)'!$G$6)*0.7))/100) - TRUNC((D15*(('Premisas PEL (11 min)'!$G$6)*0.7))/100))</f>
        <v>0</v>
      </c>
      <c r="G15" s="6">
        <f t="shared" si="0"/>
        <v>7</v>
      </c>
      <c r="H15" s="6">
        <f>IF((ROUND($C$19,0)+ROUND($F$19,0)+('Premisas PEL (11 min)'!$G$6-(TRUNC('Premisas PEL (11 min)'!$G$6*0.3)+TRUNC('Premisas PEL (11 min)'!$G$6*0.7))))&gt;=COUNTA($A$4:$A$10),G15,G15)</f>
        <v>7</v>
      </c>
    </row>
    <row r="16" spans="1:8" ht="40.15" customHeight="1">
      <c r="A16" s="82" t="s">
        <v>46</v>
      </c>
      <c r="B16" s="6">
        <f>TRUNC(TRUNC(('Premisas PEL (11 min)'!$G$6)*0.3)/COUNTA($A$4:$A$18))</f>
        <v>7</v>
      </c>
      <c r="C16" s="7">
        <f>(('Premisas PEL (11 min)'!$G$6)*0.3)/COUNTA($A$4:$A$18) - TRUNC(TRUNC(('Premisas PEL (11 min)'!$G$6)*0.3)/COUNTA($A$4:$A$18))</f>
        <v>0.48000000000000043</v>
      </c>
      <c r="D16" s="7">
        <f>'Premisas PEL (11 min)'!D23</f>
        <v>0</v>
      </c>
      <c r="E16" s="6">
        <f>TRUNC((D16*(('Premisas PEL (11 min)'!$G$6)*0.7))/100,0)</f>
        <v>0</v>
      </c>
      <c r="F16" s="7">
        <f>(((D16*(('Premisas PEL (11 min)'!$G$6)*0.7))/100) - TRUNC((D16*(('Premisas PEL (11 min)'!$G$6)*0.7))/100))</f>
        <v>0</v>
      </c>
      <c r="G16" s="6">
        <f t="shared" si="0"/>
        <v>7</v>
      </c>
      <c r="H16" s="6">
        <f>IF((ROUND($C$19,0)+ROUND($F$19,0)+('Premisas PEL (11 min)'!$G$6-(TRUNC('Premisas PEL (11 min)'!$G$6*0.3)+TRUNC('Premisas PEL (11 min)'!$G$6*0.7))))&gt;=COUNTA($A$4:$A$10),G16,G16)</f>
        <v>7</v>
      </c>
    </row>
    <row r="17" spans="1:9" ht="40.15" customHeight="1">
      <c r="A17" s="82" t="s">
        <v>48</v>
      </c>
      <c r="B17" s="6">
        <f>TRUNC(TRUNC(('Premisas PEL (11 min)'!$G$6)*0.3)/COUNTA($A$4:$A$18))</f>
        <v>7</v>
      </c>
      <c r="C17" s="7">
        <f>(('Premisas PEL (11 min)'!$G$6)*0.3)/COUNTA($A$4:$A$18) - TRUNC(TRUNC(('Premisas PEL (11 min)'!$G$6)*0.3)/COUNTA($A$4:$A$18))</f>
        <v>0.48000000000000043</v>
      </c>
      <c r="D17" s="7">
        <f>'Premisas PEL (11 min)'!D24</f>
        <v>0</v>
      </c>
      <c r="E17" s="6">
        <f>TRUNC((D17*(('Premisas PEL (11 min)'!$G$6)*0.7))/100,0)</f>
        <v>0</v>
      </c>
      <c r="F17" s="7">
        <f>(((D17*(('Premisas PEL (11 min)'!$G$6)*0.7))/100) - TRUNC((D17*(('Premisas PEL (11 min)'!$G$6)*0.7))/100))</f>
        <v>0</v>
      </c>
      <c r="G17" s="6">
        <f t="shared" si="0"/>
        <v>7</v>
      </c>
      <c r="H17" s="6">
        <f>IF((ROUND($C$19,0)+ROUND($F$19,0)+('Premisas PEL (11 min)'!$G$6-(TRUNC('Premisas PEL (11 min)'!$G$6*0.3)+TRUNC('Premisas PEL (11 min)'!$G$6*0.7))))&gt;=COUNTA($A$4:$A$10),G17,G17)</f>
        <v>7</v>
      </c>
    </row>
    <row r="18" spans="1:9" ht="40.15" customHeight="1">
      <c r="A18" s="82" t="s">
        <v>50</v>
      </c>
      <c r="B18" s="6">
        <f>TRUNC(TRUNC(('Premisas PEL (11 min)'!$G$6)*0.3)/COUNTA($A$4:$A$18))</f>
        <v>7</v>
      </c>
      <c r="C18" s="7">
        <f>(('Premisas PEL (11 min)'!$G$6)*0.3)/COUNTA($A$4:$A$18) - TRUNC(TRUNC(('Premisas PEL (11 min)'!$G$6)*0.3)/COUNTA($A$4:$A$18))</f>
        <v>0.48000000000000043</v>
      </c>
      <c r="D18" s="7">
        <f>'Premisas PEL (11 min)'!D25</f>
        <v>0</v>
      </c>
      <c r="E18" s="6">
        <f>TRUNC((D18*(('Premisas PEL (11 min)'!$G$6)*0.7))/100,0)</f>
        <v>0</v>
      </c>
      <c r="F18" s="7">
        <f>(((D18*(('Premisas PEL (11 min)'!$G$6)*0.7))/100) - TRUNC((D18*(('Premisas PEL (11 min)'!$G$6)*0.7))/100))</f>
        <v>0</v>
      </c>
      <c r="G18" s="6">
        <f t="shared" si="0"/>
        <v>7</v>
      </c>
      <c r="H18" s="6">
        <f>IF((ROUND($C$19,0)+ROUND($F$19,0)+('Premisas PEL (11 min)'!$G$6-(TRUNC('Premisas PEL (11 min)'!$G$6*0.3)+TRUNC('Premisas PEL (11 min)'!$G$6*0.7))))&gt;=COUNTA($A$4:$A$10),G18,G18)</f>
        <v>7</v>
      </c>
    </row>
    <row r="19" spans="1:9" ht="40.15" customHeight="1">
      <c r="A19" s="8" t="s">
        <v>49</v>
      </c>
      <c r="B19" s="8">
        <f t="shared" ref="B19:H19" si="1">SUM(B4:B18)</f>
        <v>105</v>
      </c>
      <c r="C19" s="9">
        <f t="shared" si="1"/>
        <v>7.2000000000000064</v>
      </c>
      <c r="D19" s="9">
        <f t="shared" si="1"/>
        <v>100</v>
      </c>
      <c r="E19" s="8">
        <f t="shared" si="1"/>
        <v>259</v>
      </c>
      <c r="F19" s="9">
        <f t="shared" si="1"/>
        <v>2.8000000000000274</v>
      </c>
      <c r="G19" s="8">
        <f t="shared" si="1"/>
        <v>364</v>
      </c>
      <c r="H19" s="8">
        <f t="shared" si="1"/>
        <v>364</v>
      </c>
      <c r="I19" s="10"/>
    </row>
    <row r="20" spans="1:9" ht="20.45" customHeight="1">
      <c r="C20" s="81"/>
      <c r="I20" s="10"/>
    </row>
    <row r="21" spans="1:9" ht="19.899999999999999" customHeight="1"/>
    <row r="22" spans="1:9" ht="19.899999999999999" customHeight="1">
      <c r="A22" s="92" t="s">
        <v>51</v>
      </c>
      <c r="B22" s="94"/>
      <c r="C22" s="11">
        <f>'Premisas PEL (11 min)'!E27</f>
        <v>10</v>
      </c>
    </row>
  </sheetData>
  <mergeCells count="6">
    <mergeCell ref="A22:B22"/>
    <mergeCell ref="A1:H1"/>
    <mergeCell ref="A2:A3"/>
    <mergeCell ref="B2:F2"/>
    <mergeCell ref="G2:G3"/>
    <mergeCell ref="H2:H3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49"/>
  <sheetViews>
    <sheetView tabSelected="1" topLeftCell="A7" zoomScale="62" zoomScaleNormal="62" workbookViewId="0">
      <selection activeCell="E15" sqref="E15"/>
    </sheetView>
  </sheetViews>
  <sheetFormatPr defaultColWidth="11.42578125" defaultRowHeight="14.45"/>
  <cols>
    <col min="1" max="1" width="20.7109375" style="66" customWidth="1"/>
    <col min="2" max="12" width="12.7109375" style="66" customWidth="1"/>
    <col min="13" max="18" width="11.42578125" style="66"/>
    <col min="28" max="16384" width="11.42578125" style="66"/>
  </cols>
  <sheetData>
    <row r="1" spans="1:27" ht="15" customHeight="1">
      <c r="A1" s="23" t="s">
        <v>60</v>
      </c>
      <c r="B1" s="65"/>
    </row>
    <row r="2" spans="1:27" ht="15" customHeight="1">
      <c r="B2" s="67"/>
    </row>
    <row r="3" spans="1:27" ht="15" customHeight="1"/>
    <row r="4" spans="1:27" ht="15" customHeight="1">
      <c r="A4" s="108" t="s">
        <v>61</v>
      </c>
      <c r="B4" s="16">
        <v>45293</v>
      </c>
      <c r="C4" s="16">
        <v>45294</v>
      </c>
      <c r="D4" s="16">
        <v>45295</v>
      </c>
      <c r="E4" s="16">
        <v>45296</v>
      </c>
      <c r="F4" s="16">
        <v>45297</v>
      </c>
      <c r="G4" s="16">
        <v>45298</v>
      </c>
      <c r="H4" s="16">
        <v>45299</v>
      </c>
      <c r="I4" s="16">
        <v>45300</v>
      </c>
      <c r="J4" s="16">
        <v>45301</v>
      </c>
      <c r="K4" s="16">
        <v>45302</v>
      </c>
      <c r="L4" s="16">
        <v>45303</v>
      </c>
      <c r="M4" s="16">
        <v>45304</v>
      </c>
      <c r="N4" s="16">
        <v>45305</v>
      </c>
      <c r="O4" s="16">
        <v>45306</v>
      </c>
      <c r="P4" s="16">
        <v>45307</v>
      </c>
      <c r="Q4" s="16">
        <v>45308</v>
      </c>
      <c r="R4" s="16">
        <v>45309</v>
      </c>
      <c r="S4" s="66"/>
      <c r="T4" s="66"/>
      <c r="U4" s="66"/>
      <c r="V4" s="66"/>
      <c r="W4" s="66"/>
      <c r="X4" s="66"/>
      <c r="Y4" s="66"/>
      <c r="Z4" s="66"/>
      <c r="AA4" s="66"/>
    </row>
    <row r="5" spans="1:27" ht="15" customHeight="1">
      <c r="A5" s="109"/>
      <c r="B5" s="17">
        <v>45293</v>
      </c>
      <c r="C5" s="17">
        <v>45294</v>
      </c>
      <c r="D5" s="17">
        <v>45295</v>
      </c>
      <c r="E5" s="17">
        <v>45296</v>
      </c>
      <c r="F5" s="17">
        <v>45297</v>
      </c>
      <c r="G5" s="17">
        <v>45298</v>
      </c>
      <c r="H5" s="17">
        <v>45299</v>
      </c>
      <c r="I5" s="17">
        <v>45300</v>
      </c>
      <c r="J5" s="17">
        <v>45301</v>
      </c>
      <c r="K5" s="17">
        <v>45302</v>
      </c>
      <c r="L5" s="17">
        <v>45303</v>
      </c>
      <c r="M5" s="17">
        <v>45304</v>
      </c>
      <c r="N5" s="17">
        <v>45305</v>
      </c>
      <c r="O5" s="17">
        <v>45306</v>
      </c>
      <c r="P5" s="17">
        <v>45307</v>
      </c>
      <c r="Q5" s="17">
        <v>45308</v>
      </c>
      <c r="R5" s="17">
        <v>45309</v>
      </c>
      <c r="S5" s="66"/>
      <c r="T5" s="66"/>
      <c r="U5" s="66"/>
      <c r="V5" s="66"/>
      <c r="W5" s="66"/>
      <c r="X5" s="66"/>
      <c r="Y5" s="66"/>
      <c r="Z5" s="66"/>
      <c r="AA5" s="66"/>
    </row>
    <row r="6" spans="1:27" ht="15" customHeight="1">
      <c r="A6" s="110"/>
      <c r="B6" s="18">
        <v>45293</v>
      </c>
      <c r="C6" s="18">
        <v>45294</v>
      </c>
      <c r="D6" s="18">
        <v>45295</v>
      </c>
      <c r="E6" s="18">
        <v>45296</v>
      </c>
      <c r="F6" s="18">
        <v>45297</v>
      </c>
      <c r="G6" s="18">
        <v>45298</v>
      </c>
      <c r="H6" s="18">
        <v>45299</v>
      </c>
      <c r="I6" s="18">
        <v>45300</v>
      </c>
      <c r="J6" s="18">
        <v>45301</v>
      </c>
      <c r="K6" s="18">
        <v>45302</v>
      </c>
      <c r="L6" s="18">
        <v>45303</v>
      </c>
      <c r="M6" s="18">
        <v>45304</v>
      </c>
      <c r="N6" s="18">
        <v>45305</v>
      </c>
      <c r="O6" s="18">
        <v>45306</v>
      </c>
      <c r="P6" s="18">
        <v>45307</v>
      </c>
      <c r="Q6" s="18">
        <v>45308</v>
      </c>
      <c r="R6" s="18">
        <v>45309</v>
      </c>
      <c r="S6" s="66"/>
      <c r="T6" s="66"/>
      <c r="U6" s="66"/>
      <c r="V6" s="66"/>
      <c r="W6" s="66"/>
      <c r="X6" s="66"/>
      <c r="Y6" s="66"/>
      <c r="Z6" s="66"/>
      <c r="AA6" s="66"/>
    </row>
    <row r="7" spans="1:27" ht="15" customHeight="1">
      <c r="A7" s="19">
        <v>1</v>
      </c>
      <c r="B7" s="47" t="s">
        <v>62</v>
      </c>
      <c r="C7" s="68" t="s">
        <v>63</v>
      </c>
      <c r="D7" s="69" t="s">
        <v>64</v>
      </c>
      <c r="E7" s="68" t="s">
        <v>63</v>
      </c>
      <c r="F7" s="69" t="s">
        <v>64</v>
      </c>
      <c r="G7" s="70" t="s">
        <v>65</v>
      </c>
      <c r="H7" s="69" t="s">
        <v>64</v>
      </c>
      <c r="I7" s="68" t="s">
        <v>63</v>
      </c>
      <c r="J7" s="71" t="s">
        <v>66</v>
      </c>
      <c r="K7" s="69" t="s">
        <v>64</v>
      </c>
      <c r="L7" s="68" t="s">
        <v>63</v>
      </c>
      <c r="M7" s="70" t="s">
        <v>65</v>
      </c>
      <c r="N7" s="34" t="s">
        <v>64</v>
      </c>
      <c r="O7" s="72" t="s">
        <v>67</v>
      </c>
      <c r="P7" s="73" t="s">
        <v>68</v>
      </c>
      <c r="Q7" s="68" t="s">
        <v>63</v>
      </c>
      <c r="R7" s="48" t="s">
        <v>69</v>
      </c>
    </row>
    <row r="8" spans="1:27" ht="15" customHeight="1">
      <c r="A8" s="19">
        <v>2</v>
      </c>
      <c r="B8" s="49" t="s">
        <v>70</v>
      </c>
      <c r="C8" s="47" t="s">
        <v>62</v>
      </c>
      <c r="D8" s="68" t="s">
        <v>63</v>
      </c>
      <c r="E8" s="69" t="s">
        <v>64</v>
      </c>
      <c r="F8" s="68" t="s">
        <v>63</v>
      </c>
      <c r="G8" s="69" t="s">
        <v>64</v>
      </c>
      <c r="H8" s="70" t="s">
        <v>65</v>
      </c>
      <c r="I8" s="69" t="s">
        <v>64</v>
      </c>
      <c r="J8" s="68" t="s">
        <v>63</v>
      </c>
      <c r="K8" s="71" t="s">
        <v>66</v>
      </c>
      <c r="L8" s="69" t="s">
        <v>64</v>
      </c>
      <c r="M8" s="68" t="s">
        <v>63</v>
      </c>
      <c r="N8" s="70" t="s">
        <v>65</v>
      </c>
      <c r="O8" s="50" t="s">
        <v>71</v>
      </c>
      <c r="P8" s="72" t="s">
        <v>67</v>
      </c>
      <c r="Q8" s="73" t="s">
        <v>68</v>
      </c>
      <c r="R8" s="74" t="s">
        <v>72</v>
      </c>
    </row>
    <row r="9" spans="1:27" ht="15" customHeight="1">
      <c r="A9" s="19">
        <v>3</v>
      </c>
      <c r="B9" s="75" t="s">
        <v>73</v>
      </c>
      <c r="C9" s="49" t="s">
        <v>70</v>
      </c>
      <c r="D9" s="70" t="s">
        <v>65</v>
      </c>
      <c r="E9" s="68" t="s">
        <v>63</v>
      </c>
      <c r="F9" s="69" t="s">
        <v>64</v>
      </c>
      <c r="G9" s="68" t="s">
        <v>63</v>
      </c>
      <c r="H9" s="69" t="s">
        <v>64</v>
      </c>
      <c r="I9" s="70" t="s">
        <v>65</v>
      </c>
      <c r="J9" s="69" t="s">
        <v>64</v>
      </c>
      <c r="K9" s="68" t="s">
        <v>63</v>
      </c>
      <c r="L9" s="20" t="s">
        <v>74</v>
      </c>
      <c r="M9" s="69" t="s">
        <v>64</v>
      </c>
      <c r="N9" s="68" t="s">
        <v>63</v>
      </c>
      <c r="O9" s="70" t="s">
        <v>65</v>
      </c>
      <c r="P9" s="34" t="s">
        <v>64</v>
      </c>
      <c r="Q9" s="72" t="s">
        <v>67</v>
      </c>
      <c r="R9" s="73" t="s">
        <v>68</v>
      </c>
    </row>
    <row r="10" spans="1:27" ht="15" customHeight="1">
      <c r="A10" s="19">
        <v>4</v>
      </c>
      <c r="B10" s="76" t="s">
        <v>75</v>
      </c>
      <c r="C10" s="75" t="s">
        <v>73</v>
      </c>
      <c r="D10" s="49" t="s">
        <v>70</v>
      </c>
      <c r="E10" s="47" t="s">
        <v>62</v>
      </c>
      <c r="F10" s="68" t="s">
        <v>63</v>
      </c>
      <c r="G10" s="69" t="s">
        <v>64</v>
      </c>
      <c r="H10" s="68" t="s">
        <v>63</v>
      </c>
      <c r="I10" s="69" t="s">
        <v>64</v>
      </c>
      <c r="J10" s="70" t="s">
        <v>65</v>
      </c>
      <c r="K10" s="69" t="s">
        <v>64</v>
      </c>
      <c r="L10" s="68" t="s">
        <v>63</v>
      </c>
      <c r="M10" s="71" t="s">
        <v>66</v>
      </c>
      <c r="N10" s="69" t="s">
        <v>64</v>
      </c>
      <c r="O10" s="68" t="s">
        <v>63</v>
      </c>
      <c r="P10" s="70" t="s">
        <v>65</v>
      </c>
      <c r="Q10" s="50" t="s">
        <v>71</v>
      </c>
      <c r="R10" s="72" t="s">
        <v>67</v>
      </c>
    </row>
    <row r="11" spans="1:27" ht="15" customHeight="1">
      <c r="A11" s="19">
        <v>5</v>
      </c>
      <c r="B11" s="77" t="s">
        <v>76</v>
      </c>
      <c r="C11" s="76" t="s">
        <v>75</v>
      </c>
      <c r="D11" s="69" t="s">
        <v>64</v>
      </c>
      <c r="E11" s="69" t="s">
        <v>64</v>
      </c>
      <c r="F11" s="70" t="s">
        <v>65</v>
      </c>
      <c r="G11" s="68" t="s">
        <v>63</v>
      </c>
      <c r="H11" s="69" t="s">
        <v>64</v>
      </c>
      <c r="I11" s="68" t="s">
        <v>63</v>
      </c>
      <c r="J11" s="69" t="s">
        <v>64</v>
      </c>
      <c r="K11" s="70" t="s">
        <v>65</v>
      </c>
      <c r="L11" s="69" t="s">
        <v>64</v>
      </c>
      <c r="M11" s="68" t="s">
        <v>63</v>
      </c>
      <c r="N11" s="71" t="s">
        <v>66</v>
      </c>
      <c r="O11" s="69" t="s">
        <v>64</v>
      </c>
      <c r="P11" s="68" t="s">
        <v>63</v>
      </c>
      <c r="Q11" s="70" t="s">
        <v>65</v>
      </c>
      <c r="R11" s="50" t="s">
        <v>71</v>
      </c>
    </row>
    <row r="12" spans="1:27" ht="15" customHeight="1">
      <c r="A12" s="19">
        <v>6</v>
      </c>
      <c r="B12" s="78" t="s">
        <v>77</v>
      </c>
      <c r="C12" s="77" t="s">
        <v>76</v>
      </c>
      <c r="D12" s="76" t="s">
        <v>75</v>
      </c>
      <c r="E12" s="68" t="s">
        <v>63</v>
      </c>
      <c r="F12" s="34" t="s">
        <v>64</v>
      </c>
      <c r="G12" s="70" t="s">
        <v>65</v>
      </c>
      <c r="H12" s="68" t="s">
        <v>63</v>
      </c>
      <c r="I12" s="69" t="s">
        <v>64</v>
      </c>
      <c r="J12" s="68" t="s">
        <v>63</v>
      </c>
      <c r="K12" s="69" t="s">
        <v>64</v>
      </c>
      <c r="L12" s="70" t="s">
        <v>65</v>
      </c>
      <c r="M12" s="69" t="s">
        <v>64</v>
      </c>
      <c r="N12" s="68" t="s">
        <v>63</v>
      </c>
      <c r="O12" s="71" t="s">
        <v>66</v>
      </c>
      <c r="P12" s="69" t="s">
        <v>64</v>
      </c>
      <c r="Q12" s="68" t="s">
        <v>63</v>
      </c>
      <c r="R12" s="70" t="s">
        <v>65</v>
      </c>
    </row>
    <row r="13" spans="1:27" ht="15" customHeight="1">
      <c r="A13" s="19">
        <v>7</v>
      </c>
      <c r="B13" s="48" t="s">
        <v>69</v>
      </c>
      <c r="C13" s="78" t="s">
        <v>77</v>
      </c>
      <c r="D13" s="69" t="s">
        <v>64</v>
      </c>
      <c r="E13" s="20" t="s">
        <v>74</v>
      </c>
      <c r="F13" s="75" t="s">
        <v>73</v>
      </c>
      <c r="G13" s="69" t="s">
        <v>64</v>
      </c>
      <c r="H13" s="70" t="s">
        <v>65</v>
      </c>
      <c r="I13" s="68" t="s">
        <v>63</v>
      </c>
      <c r="J13" s="69" t="s">
        <v>64</v>
      </c>
      <c r="K13" s="68" t="s">
        <v>63</v>
      </c>
      <c r="L13" s="69" t="s">
        <v>64</v>
      </c>
      <c r="M13" s="70" t="s">
        <v>65</v>
      </c>
      <c r="N13" s="69" t="s">
        <v>64</v>
      </c>
      <c r="O13" s="68" t="s">
        <v>63</v>
      </c>
      <c r="P13" s="71" t="s">
        <v>66</v>
      </c>
      <c r="Q13" s="69" t="s">
        <v>64</v>
      </c>
      <c r="R13" s="68" t="s">
        <v>63</v>
      </c>
    </row>
    <row r="14" spans="1:27" ht="15" customHeight="1">
      <c r="A14" s="19">
        <v>8</v>
      </c>
      <c r="B14" s="74" t="s">
        <v>72</v>
      </c>
      <c r="C14" s="48" t="s">
        <v>69</v>
      </c>
      <c r="D14" s="78" t="s">
        <v>77</v>
      </c>
      <c r="E14" s="34" t="s">
        <v>64</v>
      </c>
      <c r="F14" s="20" t="s">
        <v>74</v>
      </c>
      <c r="G14" s="68" t="s">
        <v>63</v>
      </c>
      <c r="H14" s="78" t="s">
        <v>77</v>
      </c>
      <c r="I14" s="47" t="s">
        <v>62</v>
      </c>
      <c r="J14" s="68" t="s">
        <v>63</v>
      </c>
      <c r="K14" s="69" t="s">
        <v>64</v>
      </c>
      <c r="L14" s="68" t="s">
        <v>63</v>
      </c>
      <c r="M14" s="69" t="s">
        <v>64</v>
      </c>
      <c r="N14" s="70" t="s">
        <v>65</v>
      </c>
      <c r="O14" s="69" t="s">
        <v>64</v>
      </c>
      <c r="P14" s="68" t="s">
        <v>63</v>
      </c>
      <c r="Q14" s="71" t="s">
        <v>66</v>
      </c>
      <c r="R14" s="69" t="s">
        <v>64</v>
      </c>
    </row>
    <row r="15" spans="1:27" ht="15" customHeight="1">
      <c r="A15" s="19">
        <v>9</v>
      </c>
      <c r="B15" s="73" t="s">
        <v>68</v>
      </c>
      <c r="C15" s="74" t="s">
        <v>72</v>
      </c>
      <c r="D15" s="48" t="s">
        <v>69</v>
      </c>
      <c r="E15" s="78" t="s">
        <v>77</v>
      </c>
      <c r="F15" s="69" t="s">
        <v>64</v>
      </c>
      <c r="G15" s="20" t="s">
        <v>74</v>
      </c>
      <c r="H15" s="69" t="s">
        <v>64</v>
      </c>
      <c r="I15" s="69" t="s">
        <v>64</v>
      </c>
      <c r="J15" s="70" t="s">
        <v>65</v>
      </c>
      <c r="K15" s="68" t="s">
        <v>63</v>
      </c>
      <c r="L15" s="69" t="s">
        <v>64</v>
      </c>
      <c r="M15" s="68" t="s">
        <v>63</v>
      </c>
      <c r="N15" s="69" t="s">
        <v>64</v>
      </c>
      <c r="O15" s="70" t="s">
        <v>65</v>
      </c>
      <c r="P15" s="69" t="s">
        <v>64</v>
      </c>
      <c r="Q15" s="68" t="s">
        <v>63</v>
      </c>
      <c r="R15" s="71" t="s">
        <v>66</v>
      </c>
    </row>
    <row r="16" spans="1:27" ht="15" customHeight="1">
      <c r="A16" s="19">
        <v>10</v>
      </c>
      <c r="B16" s="72" t="s">
        <v>67</v>
      </c>
      <c r="C16" s="73" t="s">
        <v>68</v>
      </c>
      <c r="D16" s="74" t="s">
        <v>72</v>
      </c>
      <c r="E16" s="69" t="s">
        <v>64</v>
      </c>
      <c r="F16" s="78" t="s">
        <v>77</v>
      </c>
      <c r="G16" s="77" t="s">
        <v>76</v>
      </c>
      <c r="H16" s="76" t="s">
        <v>75</v>
      </c>
      <c r="I16" s="68" t="s">
        <v>63</v>
      </c>
      <c r="J16" s="49" t="s">
        <v>70</v>
      </c>
      <c r="K16" s="70" t="s">
        <v>65</v>
      </c>
      <c r="L16" s="68" t="s">
        <v>63</v>
      </c>
      <c r="M16" s="69" t="s">
        <v>64</v>
      </c>
      <c r="N16" s="68" t="s">
        <v>63</v>
      </c>
      <c r="O16" s="69" t="s">
        <v>64</v>
      </c>
      <c r="P16" s="70" t="s">
        <v>65</v>
      </c>
      <c r="Q16" s="69" t="s">
        <v>64</v>
      </c>
      <c r="R16" s="68" t="s">
        <v>63</v>
      </c>
    </row>
    <row r="17" spans="1:18" ht="15" customHeight="1">
      <c r="A17" s="19">
        <v>11</v>
      </c>
      <c r="B17" s="50" t="s">
        <v>71</v>
      </c>
      <c r="C17" s="72" t="s">
        <v>67</v>
      </c>
      <c r="D17" s="73" t="s">
        <v>68</v>
      </c>
      <c r="E17" s="68" t="s">
        <v>63</v>
      </c>
      <c r="F17" s="69" t="s">
        <v>64</v>
      </c>
      <c r="G17" s="78" t="s">
        <v>77</v>
      </c>
      <c r="H17" s="69" t="s">
        <v>64</v>
      </c>
      <c r="I17" s="20" t="s">
        <v>74</v>
      </c>
      <c r="J17" s="72" t="s">
        <v>67</v>
      </c>
      <c r="K17" s="69" t="s">
        <v>64</v>
      </c>
      <c r="L17" s="70" t="s">
        <v>65</v>
      </c>
      <c r="M17" s="68" t="s">
        <v>63</v>
      </c>
      <c r="N17" s="69" t="s">
        <v>64</v>
      </c>
      <c r="O17" s="68" t="s">
        <v>63</v>
      </c>
      <c r="P17" s="69" t="s">
        <v>64</v>
      </c>
      <c r="Q17" s="70" t="s">
        <v>65</v>
      </c>
      <c r="R17" s="69" t="s">
        <v>64</v>
      </c>
    </row>
    <row r="18" spans="1:18" ht="15" customHeight="1">
      <c r="A18" s="19">
        <v>12</v>
      </c>
      <c r="B18" s="70" t="s">
        <v>65</v>
      </c>
      <c r="C18" s="50" t="s">
        <v>71</v>
      </c>
      <c r="D18" s="72" t="s">
        <v>67</v>
      </c>
      <c r="E18" s="73" t="s">
        <v>68</v>
      </c>
      <c r="F18" s="34" t="s">
        <v>64</v>
      </c>
      <c r="G18" s="34" t="s">
        <v>64</v>
      </c>
      <c r="H18" s="78" t="s">
        <v>77</v>
      </c>
      <c r="I18" s="77" t="s">
        <v>76</v>
      </c>
      <c r="J18" s="34" t="s">
        <v>64</v>
      </c>
      <c r="K18" s="68" t="s">
        <v>63</v>
      </c>
      <c r="L18" s="49" t="s">
        <v>70</v>
      </c>
      <c r="M18" s="47" t="s">
        <v>62</v>
      </c>
      <c r="N18" s="68" t="s">
        <v>63</v>
      </c>
      <c r="O18" s="69" t="s">
        <v>64</v>
      </c>
      <c r="P18" s="68" t="s">
        <v>63</v>
      </c>
      <c r="Q18" s="69" t="s">
        <v>64</v>
      </c>
      <c r="R18" s="70" t="s">
        <v>65</v>
      </c>
    </row>
    <row r="19" spans="1:18" ht="15" customHeight="1">
      <c r="A19" s="19">
        <v>13</v>
      </c>
      <c r="B19" s="68" t="s">
        <v>63</v>
      </c>
      <c r="C19" s="70" t="s">
        <v>65</v>
      </c>
      <c r="D19" s="34" t="s">
        <v>64</v>
      </c>
      <c r="E19" s="72" t="s">
        <v>67</v>
      </c>
      <c r="F19" s="73" t="s">
        <v>68</v>
      </c>
      <c r="G19" s="68" t="s">
        <v>63</v>
      </c>
      <c r="H19" s="34" t="s">
        <v>64</v>
      </c>
      <c r="I19" s="78" t="s">
        <v>77</v>
      </c>
      <c r="J19" s="69" t="s">
        <v>64</v>
      </c>
      <c r="K19" s="20" t="s">
        <v>74</v>
      </c>
      <c r="L19" s="69" t="s">
        <v>64</v>
      </c>
      <c r="M19" s="69" t="s">
        <v>64</v>
      </c>
      <c r="N19" s="70" t="s">
        <v>65</v>
      </c>
      <c r="O19" s="68" t="s">
        <v>63</v>
      </c>
      <c r="P19" s="69" t="s">
        <v>64</v>
      </c>
      <c r="Q19" s="68" t="s">
        <v>63</v>
      </c>
      <c r="R19" s="69" t="s">
        <v>64</v>
      </c>
    </row>
    <row r="20" spans="1:18" ht="15" customHeight="1">
      <c r="A20" s="19">
        <v>14</v>
      </c>
      <c r="B20" s="69" t="s">
        <v>64</v>
      </c>
      <c r="C20" s="68" t="s">
        <v>63</v>
      </c>
      <c r="D20" s="70" t="s">
        <v>65</v>
      </c>
      <c r="E20" s="34" t="s">
        <v>64</v>
      </c>
      <c r="F20" s="72" t="s">
        <v>67</v>
      </c>
      <c r="G20" s="73" t="s">
        <v>68</v>
      </c>
      <c r="H20" s="74" t="s">
        <v>72</v>
      </c>
      <c r="I20" s="34" t="s">
        <v>64</v>
      </c>
      <c r="J20" s="78" t="s">
        <v>77</v>
      </c>
      <c r="K20" s="34" t="s">
        <v>64</v>
      </c>
      <c r="L20" s="76" t="s">
        <v>75</v>
      </c>
      <c r="M20" s="75" t="s">
        <v>73</v>
      </c>
      <c r="N20" s="78" t="s">
        <v>77</v>
      </c>
      <c r="O20" s="70" t="s">
        <v>65</v>
      </c>
      <c r="P20" s="68" t="s">
        <v>63</v>
      </c>
      <c r="Q20" s="69" t="s">
        <v>64</v>
      </c>
      <c r="R20" s="68" t="s">
        <v>63</v>
      </c>
    </row>
    <row r="21" spans="1:18" ht="15" customHeight="1">
      <c r="A21" s="19">
        <v>15</v>
      </c>
      <c r="B21" s="71" t="s">
        <v>66</v>
      </c>
      <c r="C21" s="69" t="s">
        <v>64</v>
      </c>
      <c r="D21" s="68" t="s">
        <v>63</v>
      </c>
      <c r="E21" s="70" t="s">
        <v>65</v>
      </c>
      <c r="F21" s="34" t="s">
        <v>64</v>
      </c>
      <c r="G21" s="72" t="s">
        <v>67</v>
      </c>
      <c r="H21" s="73" t="s">
        <v>68</v>
      </c>
      <c r="I21" s="68" t="s">
        <v>63</v>
      </c>
      <c r="J21" s="48" t="s">
        <v>69</v>
      </c>
      <c r="K21" s="78" t="s">
        <v>77</v>
      </c>
      <c r="L21" s="69" t="s">
        <v>64</v>
      </c>
      <c r="M21" s="20" t="s">
        <v>74</v>
      </c>
      <c r="N21" s="68" t="s">
        <v>63</v>
      </c>
      <c r="O21" s="69" t="s">
        <v>64</v>
      </c>
      <c r="P21" s="47" t="s">
        <v>62</v>
      </c>
      <c r="Q21" s="68" t="s">
        <v>63</v>
      </c>
      <c r="R21" s="69" t="s">
        <v>64</v>
      </c>
    </row>
    <row r="22" spans="1:18" ht="15" customHeight="1">
      <c r="A22" s="19">
        <v>16</v>
      </c>
      <c r="B22" s="68" t="s">
        <v>63</v>
      </c>
      <c r="C22" s="71" t="s">
        <v>66</v>
      </c>
      <c r="D22" s="69" t="s">
        <v>64</v>
      </c>
      <c r="E22" s="68" t="s">
        <v>63</v>
      </c>
      <c r="F22" s="70" t="s">
        <v>65</v>
      </c>
      <c r="G22" s="50" t="s">
        <v>71</v>
      </c>
      <c r="H22" s="72" t="s">
        <v>67</v>
      </c>
      <c r="I22" s="73" t="s">
        <v>68</v>
      </c>
      <c r="J22" s="34" t="s">
        <v>64</v>
      </c>
      <c r="K22" s="34" t="s">
        <v>64</v>
      </c>
      <c r="L22" s="78" t="s">
        <v>77</v>
      </c>
      <c r="M22" s="34" t="s">
        <v>64</v>
      </c>
      <c r="N22" s="34" t="s">
        <v>64</v>
      </c>
      <c r="O22" s="75" t="s">
        <v>73</v>
      </c>
      <c r="P22" s="49" t="s">
        <v>70</v>
      </c>
      <c r="Q22" s="70" t="s">
        <v>65</v>
      </c>
      <c r="R22" s="68" t="s">
        <v>63</v>
      </c>
    </row>
    <row r="23" spans="1:18" ht="15" customHeight="1">
      <c r="A23" s="19">
        <v>17</v>
      </c>
      <c r="B23" s="69" t="s">
        <v>64</v>
      </c>
      <c r="C23" s="68" t="s">
        <v>63</v>
      </c>
      <c r="D23" s="71" t="s">
        <v>66</v>
      </c>
      <c r="E23" s="69" t="s">
        <v>64</v>
      </c>
      <c r="F23" s="68" t="s">
        <v>63</v>
      </c>
      <c r="G23" s="70" t="s">
        <v>65</v>
      </c>
      <c r="H23" s="34" t="s">
        <v>64</v>
      </c>
      <c r="I23" s="72" t="s">
        <v>67</v>
      </c>
      <c r="J23" s="73" t="s">
        <v>68</v>
      </c>
      <c r="K23" s="68" t="s">
        <v>63</v>
      </c>
      <c r="L23" s="34" t="s">
        <v>64</v>
      </c>
      <c r="M23" s="78" t="s">
        <v>77</v>
      </c>
      <c r="N23" s="69" t="s">
        <v>64</v>
      </c>
      <c r="O23" s="20" t="s">
        <v>74</v>
      </c>
      <c r="P23" s="69" t="s">
        <v>64</v>
      </c>
      <c r="Q23" s="69" t="s">
        <v>64</v>
      </c>
      <c r="R23" s="47" t="s">
        <v>62</v>
      </c>
    </row>
    <row r="24" spans="1:18" ht="15" customHeight="1">
      <c r="A24" s="19">
        <v>18</v>
      </c>
      <c r="B24" s="70" t="s">
        <v>65</v>
      </c>
      <c r="C24" s="69" t="s">
        <v>64</v>
      </c>
      <c r="D24" s="68" t="s">
        <v>63</v>
      </c>
      <c r="E24" s="71" t="s">
        <v>66</v>
      </c>
      <c r="F24" s="69" t="s">
        <v>64</v>
      </c>
      <c r="G24" s="68" t="s">
        <v>63</v>
      </c>
      <c r="H24" s="70" t="s">
        <v>65</v>
      </c>
      <c r="I24" s="34" t="s">
        <v>64</v>
      </c>
      <c r="J24" s="72" t="s">
        <v>67</v>
      </c>
      <c r="K24" s="73" t="s">
        <v>68</v>
      </c>
      <c r="L24" s="74" t="s">
        <v>72</v>
      </c>
      <c r="M24" s="34" t="s">
        <v>64</v>
      </c>
      <c r="N24" s="78" t="s">
        <v>77</v>
      </c>
      <c r="O24" s="77" t="s">
        <v>76</v>
      </c>
      <c r="P24" s="20" t="s">
        <v>74</v>
      </c>
      <c r="Q24" s="75" t="s">
        <v>73</v>
      </c>
      <c r="R24" s="49" t="s">
        <v>70</v>
      </c>
    </row>
    <row r="25" spans="1:18" ht="15" customHeight="1">
      <c r="A25" s="19">
        <v>19</v>
      </c>
      <c r="B25" s="69" t="s">
        <v>64</v>
      </c>
      <c r="C25" s="70" t="s">
        <v>65</v>
      </c>
      <c r="D25" s="69" t="s">
        <v>64</v>
      </c>
      <c r="E25" s="68" t="s">
        <v>63</v>
      </c>
      <c r="F25" s="71" t="s">
        <v>66</v>
      </c>
      <c r="G25" s="69" t="s">
        <v>64</v>
      </c>
      <c r="H25" s="68" t="s">
        <v>63</v>
      </c>
      <c r="I25" s="70" t="s">
        <v>65</v>
      </c>
      <c r="J25" s="34" t="s">
        <v>64</v>
      </c>
      <c r="K25" s="72" t="s">
        <v>67</v>
      </c>
      <c r="L25" s="73" t="s">
        <v>68</v>
      </c>
      <c r="M25" s="68" t="s">
        <v>63</v>
      </c>
      <c r="N25" s="34" t="s">
        <v>64</v>
      </c>
      <c r="O25" s="78" t="s">
        <v>77</v>
      </c>
      <c r="P25" s="69" t="s">
        <v>64</v>
      </c>
      <c r="Q25" s="76" t="s">
        <v>75</v>
      </c>
      <c r="R25" s="75" t="s">
        <v>73</v>
      </c>
    </row>
    <row r="26" spans="1:18" ht="15" customHeight="1">
      <c r="A26" s="19">
        <v>20</v>
      </c>
      <c r="B26" s="68" t="s">
        <v>63</v>
      </c>
      <c r="C26" s="69" t="s">
        <v>64</v>
      </c>
      <c r="D26" s="70" t="s">
        <v>65</v>
      </c>
      <c r="E26" s="69" t="s">
        <v>64</v>
      </c>
      <c r="F26" s="68" t="s">
        <v>63</v>
      </c>
      <c r="G26" s="71" t="s">
        <v>66</v>
      </c>
      <c r="H26" s="69" t="s">
        <v>64</v>
      </c>
      <c r="I26" s="68" t="s">
        <v>63</v>
      </c>
      <c r="J26" s="70" t="s">
        <v>65</v>
      </c>
      <c r="K26" s="50" t="s">
        <v>71</v>
      </c>
      <c r="L26" s="72" t="s">
        <v>67</v>
      </c>
      <c r="M26" s="73" t="s">
        <v>68</v>
      </c>
      <c r="N26" s="34" t="s">
        <v>64</v>
      </c>
      <c r="O26" s="48" t="s">
        <v>69</v>
      </c>
      <c r="P26" s="78" t="s">
        <v>77</v>
      </c>
      <c r="Q26" s="77" t="s">
        <v>76</v>
      </c>
      <c r="R26" s="76" t="s">
        <v>75</v>
      </c>
    </row>
    <row r="27" spans="1:18" ht="15" customHeight="1">
      <c r="A27" s="19">
        <v>21</v>
      </c>
      <c r="B27" s="69" t="s">
        <v>64</v>
      </c>
      <c r="C27" s="68" t="s">
        <v>63</v>
      </c>
      <c r="D27" s="69" t="s">
        <v>64</v>
      </c>
      <c r="E27" s="70" t="s">
        <v>65</v>
      </c>
      <c r="F27" s="69" t="s">
        <v>64</v>
      </c>
      <c r="G27" s="68" t="s">
        <v>63</v>
      </c>
      <c r="H27" s="20" t="s">
        <v>74</v>
      </c>
      <c r="I27" s="69" t="s">
        <v>64</v>
      </c>
      <c r="J27" s="68" t="s">
        <v>63</v>
      </c>
      <c r="K27" s="70" t="s">
        <v>65</v>
      </c>
      <c r="L27" s="34" t="s">
        <v>64</v>
      </c>
      <c r="M27" s="72" t="s">
        <v>67</v>
      </c>
      <c r="N27" s="73" t="s">
        <v>68</v>
      </c>
      <c r="O27" s="68" t="s">
        <v>63</v>
      </c>
      <c r="P27" s="34" t="s">
        <v>64</v>
      </c>
      <c r="Q27" s="78" t="s">
        <v>77</v>
      </c>
      <c r="R27" s="77" t="s">
        <v>76</v>
      </c>
    </row>
    <row r="28" spans="1:18" ht="15" customHeight="1">
      <c r="A28" s="19">
        <v>22</v>
      </c>
      <c r="B28" s="68" t="s">
        <v>63</v>
      </c>
      <c r="C28" s="69" t="s">
        <v>64</v>
      </c>
      <c r="D28" s="68" t="s">
        <v>63</v>
      </c>
      <c r="E28" s="69" t="s">
        <v>64</v>
      </c>
      <c r="F28" s="70" t="s">
        <v>65</v>
      </c>
      <c r="G28" s="69" t="s">
        <v>64</v>
      </c>
      <c r="H28" s="68" t="s">
        <v>63</v>
      </c>
      <c r="I28" s="71" t="s">
        <v>66</v>
      </c>
      <c r="J28" s="69" t="s">
        <v>64</v>
      </c>
      <c r="K28" s="68" t="s">
        <v>63</v>
      </c>
      <c r="L28" s="70" t="s">
        <v>65</v>
      </c>
      <c r="M28" s="34" t="s">
        <v>64</v>
      </c>
      <c r="N28" s="72" t="s">
        <v>67</v>
      </c>
      <c r="O28" s="73" t="s">
        <v>68</v>
      </c>
      <c r="P28" s="74" t="s">
        <v>72</v>
      </c>
      <c r="Q28" s="48" t="s">
        <v>69</v>
      </c>
      <c r="R28" s="78" t="s">
        <v>77</v>
      </c>
    </row>
    <row r="29" spans="1:18" ht="15" customHeight="1"/>
    <row r="30" spans="1:18" ht="15" customHeight="1"/>
    <row r="31" spans="1:18" ht="15" customHeight="1">
      <c r="A31" s="2" t="s">
        <v>78</v>
      </c>
      <c r="B31" s="2" t="s">
        <v>79</v>
      </c>
      <c r="C31" s="2" t="s">
        <v>80</v>
      </c>
      <c r="D31" s="2" t="s">
        <v>81</v>
      </c>
      <c r="F31" s="51"/>
      <c r="G31" s="21" t="s">
        <v>82</v>
      </c>
    </row>
    <row r="32" spans="1:18" ht="15" customHeight="1">
      <c r="A32" s="37" t="s">
        <v>68</v>
      </c>
      <c r="B32" s="21">
        <f>'Cálculo PEL 70-30 (11 min)'!H4</f>
        <v>17</v>
      </c>
      <c r="C32" s="21">
        <f>COUNTIF($B$7:$R$28,A32)</f>
        <v>17</v>
      </c>
      <c r="D32" s="22">
        <f>C32-B32</f>
        <v>0</v>
      </c>
      <c r="F32" s="21">
        <v>1</v>
      </c>
      <c r="G32" s="52" t="s">
        <v>62</v>
      </c>
    </row>
    <row r="33" spans="1:11" ht="15" customHeight="1">
      <c r="A33" s="36" t="s">
        <v>63</v>
      </c>
      <c r="B33" s="21">
        <f>'Cálculo PEL 70-30 (11 min)'!H5</f>
        <v>80</v>
      </c>
      <c r="C33" s="21">
        <f t="shared" ref="C33:C48" si="0">COUNTIF($B$7:$R$28,A33)</f>
        <v>80</v>
      </c>
      <c r="D33" s="22">
        <f t="shared" ref="D33:D48" si="1">C33-B33</f>
        <v>0</v>
      </c>
      <c r="F33" s="21">
        <v>2</v>
      </c>
      <c r="G33" s="53" t="s">
        <v>70</v>
      </c>
    </row>
    <row r="34" spans="1:11" ht="15" customHeight="1">
      <c r="A34" s="38" t="s">
        <v>65</v>
      </c>
      <c r="B34" s="21">
        <f>'Cálculo PEL 70-30 (11 min)'!H6</f>
        <v>44</v>
      </c>
      <c r="C34" s="21">
        <f t="shared" si="0"/>
        <v>44</v>
      </c>
      <c r="D34" s="22">
        <f t="shared" si="1"/>
        <v>0</v>
      </c>
      <c r="F34" s="21">
        <v>3</v>
      </c>
      <c r="G34" s="54" t="s">
        <v>73</v>
      </c>
    </row>
    <row r="35" spans="1:11" ht="15" customHeight="1">
      <c r="A35" s="39" t="s">
        <v>77</v>
      </c>
      <c r="B35" s="21">
        <f>'Cálculo PEL 70-30 (11 min)'!H7</f>
        <v>19</v>
      </c>
      <c r="C35" s="21">
        <f t="shared" si="0"/>
        <v>19</v>
      </c>
      <c r="D35" s="22">
        <f t="shared" si="1"/>
        <v>0</v>
      </c>
      <c r="F35" s="21">
        <v>4</v>
      </c>
      <c r="G35" s="55" t="s">
        <v>75</v>
      </c>
    </row>
    <row r="36" spans="1:11" ht="15" customHeight="1">
      <c r="A36" s="40" t="s">
        <v>67</v>
      </c>
      <c r="B36" s="21">
        <f>'Cálculo PEL 70-30 (11 min)'!H8</f>
        <v>18</v>
      </c>
      <c r="C36" s="21">
        <f t="shared" si="0"/>
        <v>18</v>
      </c>
      <c r="D36" s="22">
        <f t="shared" si="1"/>
        <v>0</v>
      </c>
      <c r="F36" s="21">
        <v>5</v>
      </c>
      <c r="G36" s="77" t="s">
        <v>76</v>
      </c>
    </row>
    <row r="37" spans="1:11" ht="15" customHeight="1">
      <c r="A37" s="35" t="s">
        <v>66</v>
      </c>
      <c r="B37" s="21">
        <f>'Cálculo PEL 70-30 (11 min)'!H9</f>
        <v>15</v>
      </c>
      <c r="C37" s="21">
        <f t="shared" si="0"/>
        <v>15</v>
      </c>
      <c r="D37" s="22">
        <f t="shared" si="1"/>
        <v>0</v>
      </c>
      <c r="F37" s="21">
        <v>6</v>
      </c>
      <c r="G37" s="56" t="s">
        <v>77</v>
      </c>
    </row>
    <row r="38" spans="1:11" ht="15" customHeight="1">
      <c r="A38" s="34" t="s">
        <v>64</v>
      </c>
      <c r="B38" s="21">
        <f>'Cálculo PEL 70-30 (11 min)'!H10</f>
        <v>115</v>
      </c>
      <c r="C38" s="21">
        <f t="shared" si="0"/>
        <v>115</v>
      </c>
      <c r="D38" s="22">
        <f t="shared" si="1"/>
        <v>0</v>
      </c>
      <c r="F38" s="21">
        <v>7</v>
      </c>
      <c r="G38" s="48" t="s">
        <v>69</v>
      </c>
    </row>
    <row r="39" spans="1:11" ht="15" customHeight="1">
      <c r="A39" s="52" t="s">
        <v>62</v>
      </c>
      <c r="B39" s="21">
        <f>'Cálculo PEL 70-30 (11 min)'!H11</f>
        <v>7</v>
      </c>
      <c r="C39" s="21">
        <f t="shared" si="0"/>
        <v>7</v>
      </c>
      <c r="D39" s="22">
        <f t="shared" si="1"/>
        <v>0</v>
      </c>
      <c r="F39" s="21">
        <v>8</v>
      </c>
      <c r="G39" s="57" t="s">
        <v>72</v>
      </c>
    </row>
    <row r="40" spans="1:11" ht="15" customHeight="1">
      <c r="A40" s="77" t="s">
        <v>76</v>
      </c>
      <c r="B40" s="21">
        <f>'Cálculo PEL 70-30 (11 min)'!H12</f>
        <v>7</v>
      </c>
      <c r="C40" s="21">
        <f t="shared" si="0"/>
        <v>7</v>
      </c>
      <c r="D40" s="22">
        <f t="shared" si="1"/>
        <v>0</v>
      </c>
      <c r="F40" s="21">
        <v>9</v>
      </c>
      <c r="G40" s="58" t="s">
        <v>68</v>
      </c>
    </row>
    <row r="41" spans="1:11" ht="15" customHeight="1">
      <c r="A41" s="54" t="s">
        <v>73</v>
      </c>
      <c r="B41" s="21">
        <f>'Cálculo PEL 70-30 (11 min)'!H13</f>
        <v>7</v>
      </c>
      <c r="C41" s="21">
        <f t="shared" si="0"/>
        <v>7</v>
      </c>
      <c r="D41" s="22">
        <f t="shared" si="1"/>
        <v>0</v>
      </c>
      <c r="F41" s="21">
        <v>10</v>
      </c>
      <c r="G41" s="59" t="s">
        <v>67</v>
      </c>
    </row>
    <row r="42" spans="1:11" ht="15" customHeight="1">
      <c r="A42" s="55" t="s">
        <v>75</v>
      </c>
      <c r="B42" s="21">
        <f>'Cálculo PEL 70-30 (11 min)'!H14</f>
        <v>7</v>
      </c>
      <c r="C42" s="21">
        <f t="shared" si="0"/>
        <v>7</v>
      </c>
      <c r="D42" s="22">
        <f t="shared" si="1"/>
        <v>0</v>
      </c>
      <c r="F42" s="21">
        <v>11</v>
      </c>
      <c r="G42" s="80" t="s">
        <v>71</v>
      </c>
    </row>
    <row r="43" spans="1:11" ht="15" customHeight="1">
      <c r="A43" s="57" t="s">
        <v>72</v>
      </c>
      <c r="B43" s="21">
        <f>'Cálculo PEL 70-30 (11 min)'!H15</f>
        <v>7</v>
      </c>
      <c r="C43" s="21">
        <f t="shared" si="0"/>
        <v>7</v>
      </c>
      <c r="D43" s="22">
        <f t="shared" si="1"/>
        <v>0</v>
      </c>
      <c r="F43" s="21">
        <v>12</v>
      </c>
      <c r="G43" s="61" t="s">
        <v>65</v>
      </c>
      <c r="K43" s="1"/>
    </row>
    <row r="44" spans="1:11" ht="15" customHeight="1">
      <c r="A44" s="53" t="s">
        <v>70</v>
      </c>
      <c r="B44" s="21">
        <f>'Cálculo PEL 70-30 (11 min)'!H16</f>
        <v>7</v>
      </c>
      <c r="C44" s="21">
        <f t="shared" si="0"/>
        <v>7</v>
      </c>
      <c r="D44" s="22">
        <f t="shared" si="1"/>
        <v>0</v>
      </c>
      <c r="F44" s="21">
        <v>13</v>
      </c>
      <c r="G44" s="62" t="s">
        <v>63</v>
      </c>
    </row>
    <row r="45" spans="1:11" ht="15" customHeight="1">
      <c r="A45" s="79" t="s">
        <v>69</v>
      </c>
      <c r="B45" s="21">
        <f>'Cálculo PEL 70-30 (11 min)'!H17</f>
        <v>7</v>
      </c>
      <c r="C45" s="21">
        <f t="shared" si="0"/>
        <v>7</v>
      </c>
      <c r="D45" s="22">
        <f t="shared" si="1"/>
        <v>0</v>
      </c>
      <c r="F45" s="21">
        <v>14</v>
      </c>
      <c r="G45" s="63" t="s">
        <v>64</v>
      </c>
    </row>
    <row r="46" spans="1:11" ht="15" customHeight="1">
      <c r="A46" s="60" t="s">
        <v>71</v>
      </c>
      <c r="B46" s="21">
        <f>'Cálculo PEL 70-30 (11 min)'!H18</f>
        <v>7</v>
      </c>
      <c r="C46" s="21">
        <f t="shared" si="0"/>
        <v>7</v>
      </c>
      <c r="D46" s="22">
        <f t="shared" si="1"/>
        <v>0</v>
      </c>
      <c r="F46" s="21">
        <v>15</v>
      </c>
      <c r="G46" s="64" t="s">
        <v>66</v>
      </c>
    </row>
    <row r="47" spans="1:11" ht="15" customHeight="1">
      <c r="A47" s="33" t="s">
        <v>83</v>
      </c>
      <c r="B47" s="21">
        <v>0</v>
      </c>
      <c r="C47" s="21">
        <f t="shared" si="0"/>
        <v>0</v>
      </c>
      <c r="D47" s="22">
        <f t="shared" si="1"/>
        <v>0</v>
      </c>
      <c r="F47" s="21">
        <v>16</v>
      </c>
      <c r="G47" s="33" t="s">
        <v>83</v>
      </c>
    </row>
    <row r="48" spans="1:11" ht="15" customHeight="1">
      <c r="A48" s="20" t="s">
        <v>74</v>
      </c>
      <c r="B48" s="21">
        <f>'Cálculo PEL 70-30 (11 min)'!C22</f>
        <v>10</v>
      </c>
      <c r="C48" s="21">
        <f t="shared" si="0"/>
        <v>10</v>
      </c>
      <c r="D48" s="22">
        <f t="shared" si="1"/>
        <v>0</v>
      </c>
    </row>
    <row r="49" spans="1:4" ht="15" customHeight="1">
      <c r="A49" s="14" t="s">
        <v>49</v>
      </c>
      <c r="B49" s="24">
        <f>SUM(B32:B48)</f>
        <v>374</v>
      </c>
      <c r="C49" s="14">
        <f>SUM(C32:C48)</f>
        <v>374</v>
      </c>
      <c r="D49" s="25">
        <f>C49-B49</f>
        <v>0</v>
      </c>
    </row>
  </sheetData>
  <mergeCells count="1">
    <mergeCell ref="A4:A6"/>
  </mergeCells>
  <conditionalFormatting sqref="D32:D48">
    <cfRule type="cellIs" dxfId="1" priority="92" operator="lessThan">
      <formula>0</formula>
    </cfRule>
  </conditionalFormatting>
  <conditionalFormatting sqref="D32:D48">
    <cfRule type="cellIs" dxfId="0" priority="2" operator="equal">
      <formula>0</formula>
    </cfRule>
  </conditionalFormatting>
  <pageMargins left="0.7" right="0.7" top="0.75" bottom="0.75" header="0.3" footer="0.3"/>
  <pageSetup paperSize="5" scale="5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8E26A0FD566054EA0FF50F696B74F34" ma:contentTypeVersion="16" ma:contentTypeDescription="Crear nuevo documento." ma:contentTypeScope="" ma:versionID="ee07c81ce099280344cfbde1efc8c516">
  <xsd:schema xmlns:xsd="http://www.w3.org/2001/XMLSchema" xmlns:xs="http://www.w3.org/2001/XMLSchema" xmlns:p="http://schemas.microsoft.com/office/2006/metadata/properties" xmlns:ns2="2a06eb41-2329-480f-a610-9d3a6819f095" xmlns:ns3="50eb44c8-ebbf-4ed9-9871-8179e75105ba" targetNamespace="http://schemas.microsoft.com/office/2006/metadata/properties" ma:root="true" ma:fieldsID="39de17bdbeeceaaad62d3af7bb67391f" ns2:_="" ns3:_="">
    <xsd:import namespace="2a06eb41-2329-480f-a610-9d3a6819f095"/>
    <xsd:import namespace="50eb44c8-ebbf-4ed9-9871-8179e75105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06eb41-2329-480f-a610-9d3a6819f0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b5fe629f-dcd0-4f79-bd36-f65a702dfa8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eb44c8-ebbf-4ed9-9871-8179e75105b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c4c0f7c-849a-4756-bcd5-ae295679baae}" ma:internalName="TaxCatchAll" ma:showField="CatchAllData" ma:web="50eb44c8-ebbf-4ed9-9871-8179e75105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0eb44c8-ebbf-4ed9-9871-8179e75105ba" xsi:nil="true"/>
    <lcf76f155ced4ddcb4097134ff3c332f xmlns="2a06eb41-2329-480f-a610-9d3a6819f09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8AEE818-CEC2-46F0-8EEC-42F8F9E40D48}"/>
</file>

<file path=customXml/itemProps2.xml><?xml version="1.0" encoding="utf-8"?>
<ds:datastoreItem xmlns:ds="http://schemas.openxmlformats.org/officeDocument/2006/customXml" ds:itemID="{0D9671A5-FD7E-4B36-8784-CCABD1AF9412}"/>
</file>

<file path=customXml/itemProps3.xml><?xml version="1.0" encoding="utf-8"?>
<ds:datastoreItem xmlns:ds="http://schemas.openxmlformats.org/officeDocument/2006/customXml" ds:itemID="{3D4E0B60-0E5B-4325-8EEE-1A4C9B865E3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mayra.marquez@ine.mx</dc:creator>
  <cp:keywords/>
  <dc:description/>
  <cp:lastModifiedBy>VELAZQUEZ MORENO ROSA ISELA</cp:lastModifiedBy>
  <cp:revision/>
  <dcterms:created xsi:type="dcterms:W3CDTF">2009-03-16T19:55:43Z</dcterms:created>
  <dcterms:modified xsi:type="dcterms:W3CDTF">2023-11-08T01:07:42Z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0x010100E8E26A0FD566054EA0FF50F696B74F34</vt:lpwstr>
  </property>
</Properties>
</file>